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71" windowWidth="18195" windowHeight="11520" activeTab="0"/>
  </bookViews>
  <sheets>
    <sheet name="Facility Information" sheetId="1" r:id="rId1"/>
    <sheet name="Facility Processes" sheetId="2" r:id="rId2"/>
    <sheet name="Permitted Diesel Engines" sheetId="3" r:id="rId3"/>
    <sheet name="Emission Calculations" sheetId="4" r:id="rId4"/>
    <sheet name="Facility Wide Emissions" sheetId="5" r:id="rId5"/>
    <sheet name="Emission Factors" sheetId="6" r:id="rId6"/>
  </sheets>
  <definedNames>
    <definedName name="apptype">'Facility Information'!$L$4:$L$5</definedName>
    <definedName name="aptype">'Facility Information'!$L$10:$L$11</definedName>
    <definedName name="CHS">'Facility Processes'!$A$9:$A$16</definedName>
    <definedName name="CHSCon">'Facility Processes'!#REF!</definedName>
    <definedName name="CHSControl">#REF!</definedName>
    <definedName name="CleanHandleStore">#REF!</definedName>
    <definedName name="Combust">'Facility Processes'!#REF!</definedName>
    <definedName name="Combustion">#REF!</definedName>
    <definedName name="Crushing">'Facility Processes'!$A$7:$A$14</definedName>
    <definedName name="Dryer">'Facility Processes'!$A$7:$A$8</definedName>
    <definedName name="Drying">#REF!</definedName>
    <definedName name="Employ">'Facility Information'!$L$7:$L$8</definedName>
    <definedName name="Gen">'Permitted Diesel Engines'!$N$8:$N$9</definedName>
    <definedName name="Generator">'Facility Processes'!$A$47:$A$48</definedName>
    <definedName name="Load">'Facility Processes'!$A$17:$A$19</definedName>
    <definedName name="LoadCon">'Facility Processes'!#REF!</definedName>
    <definedName name="Loading">'Facility Processes'!$A$18:$A$19</definedName>
    <definedName name="Loadout">#REF!</definedName>
    <definedName name="LoadoutControl">#REF!</definedName>
    <definedName name="NoEmploy">'Facility Information'!$K$15:$K$16</definedName>
    <definedName name="Receive">'Facility Processes'!$A$20:$A$20</definedName>
    <definedName name="ReceiveCon">'Facility Processes'!#REF!</definedName>
    <definedName name="ReceiveControl">#REF!</definedName>
    <definedName name="Receiving">#REF!</definedName>
    <definedName name="RoadCon">'Facility Processes'!$A$21</definedName>
    <definedName name="Submit">'Facility Information'!$K$11:$K$12</definedName>
    <definedName name="YesNO">'Facility Processes'!$A$33:$A$34</definedName>
    <definedName name="yn">'Facility Information'!$K$24:$K$25</definedName>
  </definedNames>
  <calcPr fullCalcOnLoad="1"/>
</workbook>
</file>

<file path=xl/comments2.xml><?xml version="1.0" encoding="utf-8"?>
<comments xmlns="http://schemas.openxmlformats.org/spreadsheetml/2006/main">
  <authors>
    <author>Jennifer Wittenburg</author>
  </authors>
  <commentList>
    <comment ref="I24" authorId="0">
      <text>
        <r>
          <rPr>
            <b/>
            <sz val="9"/>
            <rFont val="Tahoma"/>
            <family val="2"/>
          </rPr>
          <t xml:space="preserve">Maxiumum amount of limestone that can be hauled in one year.  This can be estimated using an operating limit from a construction permit or by the maximum hourly design rate of the facilty. </t>
        </r>
      </text>
    </comment>
    <comment ref="I38" authorId="0">
      <text>
        <r>
          <rPr>
            <b/>
            <sz val="9"/>
            <rFont val="Tahoma"/>
            <family val="2"/>
          </rPr>
          <t xml:space="preserve">Maxiumum amount of limestone that can be hauled in one year.  This can be estimated using an operating limit from a construction permit or by the maximum hourly design rate of the facilty. </t>
        </r>
      </text>
    </comment>
  </commentList>
</comments>
</file>

<file path=xl/comments6.xml><?xml version="1.0" encoding="utf-8"?>
<comments xmlns="http://schemas.openxmlformats.org/spreadsheetml/2006/main">
  <authors>
    <author>Jennifer Wittenburg</author>
  </authors>
  <commentList>
    <comment ref="H43" authorId="0">
      <text>
        <r>
          <rPr>
            <b/>
            <sz val="9"/>
            <rFont val="Tahoma"/>
            <family val="2"/>
          </rPr>
          <t xml:space="preserve">Emission Factor is 1.01(S) </t>
        </r>
        <r>
          <rPr>
            <sz val="9"/>
            <rFont val="Tahoma"/>
            <family val="2"/>
          </rPr>
          <t xml:space="preserve">
Where S = the sulfur content of the fuel oil. </t>
        </r>
      </text>
    </comment>
  </commentList>
</comments>
</file>

<file path=xl/sharedStrings.xml><?xml version="1.0" encoding="utf-8"?>
<sst xmlns="http://schemas.openxmlformats.org/spreadsheetml/2006/main" count="391" uniqueCount="189">
  <si>
    <t>FACILITY NUMBER:</t>
  </si>
  <si>
    <t>MAILING ADDRESS:</t>
  </si>
  <si>
    <t>FACILITY CONTACT:</t>
  </si>
  <si>
    <t>PHONE NUMBER:</t>
  </si>
  <si>
    <t>FACILITY NAME:</t>
  </si>
  <si>
    <t>SIC CODE:</t>
  </si>
  <si>
    <t>NAICS CODE:</t>
  </si>
  <si>
    <t>ACTIVITY DESCRIPTION:</t>
  </si>
  <si>
    <t>Process</t>
  </si>
  <si>
    <t>Emission Point #</t>
  </si>
  <si>
    <t>Units</t>
  </si>
  <si>
    <t>SO2</t>
  </si>
  <si>
    <t>Nox</t>
  </si>
  <si>
    <t>VOC</t>
  </si>
  <si>
    <t>CO</t>
  </si>
  <si>
    <t>Ammonia</t>
  </si>
  <si>
    <t>Formaldehyde</t>
  </si>
  <si>
    <t>SCC #</t>
  </si>
  <si>
    <t>Max Design Rate</t>
  </si>
  <si>
    <t>EP</t>
  </si>
  <si>
    <t>Description of Process</t>
  </si>
  <si>
    <t>Emission Factor</t>
  </si>
  <si>
    <t>Potential Annual Emissions (tons/yr)</t>
  </si>
  <si>
    <t>Control Efficiency</t>
  </si>
  <si>
    <t>PM2. 5</t>
  </si>
  <si>
    <t>PM10</t>
  </si>
  <si>
    <t>Actual Emissions (tons/yr)</t>
  </si>
  <si>
    <t>FACILITY-WIDE POTENTIAL EMISSIONS:</t>
  </si>
  <si>
    <t>FACILITY-WIDE ACTUAL EMISSIONS:</t>
  </si>
  <si>
    <t>Air Pollutant</t>
  </si>
  <si>
    <t>ID or CAS Number</t>
  </si>
  <si>
    <t>Tons/Yr</t>
  </si>
  <si>
    <t>PM-2.5</t>
  </si>
  <si>
    <t>PM-10</t>
  </si>
  <si>
    <t>7446-09-5</t>
  </si>
  <si>
    <t>NOx</t>
  </si>
  <si>
    <t>630-08-0</t>
  </si>
  <si>
    <t>50-00-0</t>
  </si>
  <si>
    <t>Total HAP</t>
  </si>
  <si>
    <t>FACILITY TOTALS:</t>
  </si>
  <si>
    <t>EMISSION YEAR:</t>
  </si>
  <si>
    <t>FACILITY ADDRESS:</t>
  </si>
  <si>
    <t>IA</t>
  </si>
  <si>
    <t>STATE:</t>
  </si>
  <si>
    <t>CITY:</t>
  </si>
  <si>
    <t>EMAIL ADDRESS:</t>
  </si>
  <si>
    <t>ZIP:</t>
  </si>
  <si>
    <t>PARENT COMPANY:</t>
  </si>
  <si>
    <t>PARENT COMPANY ADDRESS:</t>
  </si>
  <si>
    <t>PARENT COMPANY CONTACT:</t>
  </si>
  <si>
    <t>PLANT LOCATION:</t>
  </si>
  <si>
    <t>LATITUDE:</t>
  </si>
  <si>
    <t>LONGITUDE:</t>
  </si>
  <si>
    <t>Combined Maximum Hourly Design Rate for all Like Processes (tons/hr)</t>
  </si>
  <si>
    <t>Emission Unit Description</t>
  </si>
  <si>
    <t>Units of Measure</t>
  </si>
  <si>
    <t>NUMBER OF STATE-WIDE COMPANY EMPLOYEES:</t>
  </si>
  <si>
    <t>Unpaved Haul Road</t>
  </si>
  <si>
    <t>Average Vehicle Weight (tons)</t>
  </si>
  <si>
    <t>Empty (Unloaded)</t>
  </si>
  <si>
    <t>Full (Loaded)</t>
  </si>
  <si>
    <t>Annual Throughput (tons)</t>
  </si>
  <si>
    <t>Maximum</t>
  </si>
  <si>
    <t>Actual</t>
  </si>
  <si>
    <t>Percent of Miles that the Vehicles Travel While Empty (%):</t>
  </si>
  <si>
    <t>If vehicles travel the same distance empty and full, this number is should be entered as 50.</t>
  </si>
  <si>
    <r>
      <t xml:space="preserve">Average Vehicle Weight </t>
    </r>
    <r>
      <rPr>
        <b/>
        <sz val="8"/>
        <color indexed="8"/>
        <rFont val="Arial"/>
        <family val="2"/>
      </rPr>
      <t>(W)</t>
    </r>
    <r>
      <rPr>
        <sz val="8"/>
        <color indexed="8"/>
        <rFont val="Arial"/>
        <family val="2"/>
      </rPr>
      <t xml:space="preserve"> (tons):</t>
    </r>
  </si>
  <si>
    <t>Average weight of vehicles based on the distance traveled on site.</t>
  </si>
  <si>
    <t>Average Load Weight (tons):</t>
  </si>
  <si>
    <t>Average weight of full vehicle minus average weight of empty vehicle.</t>
  </si>
  <si>
    <t>Potential Annual One-Way Trips taken on road:</t>
  </si>
  <si>
    <t>Maximum Potential Annual Throughput divided by Average Load Weight.</t>
  </si>
  <si>
    <t>Actual Annual One-Way Trips taken on road:</t>
  </si>
  <si>
    <t>Actual Annual Throughput divided by Mean Vehicle Weight.</t>
  </si>
  <si>
    <r>
      <t>Road Surface Silt Loading (g/m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):</t>
    </r>
  </si>
  <si>
    <t xml:space="preserve">Enter the Year for which you are calculating emissions, usually the previous calendar year. </t>
  </si>
  <si>
    <t>&lt;---------</t>
  </si>
  <si>
    <t>Round Trip Length of Haul Road (miles)</t>
  </si>
  <si>
    <t>k=constant=1.5 for PM10 and 0.15 for PM2.5 (AP-42 Table 13.2.2-1)</t>
  </si>
  <si>
    <t>s= silt content (AP-42 Table 13.2.2-1)</t>
  </si>
  <si>
    <t>w= average vehicle weight</t>
  </si>
  <si>
    <t xml:space="preserve">Please fill in the yellow boxes as applicable for your facility. </t>
  </si>
  <si>
    <t>Days/Year with at Least 0.01 inches of Precipitation:</t>
  </si>
  <si>
    <t>LIMESTONE CRUSHING</t>
  </si>
  <si>
    <t>Crushed and Broken Limesone</t>
  </si>
  <si>
    <t>Do You Use Wet Suppression Technology as a Control?</t>
  </si>
  <si>
    <t>YES</t>
  </si>
  <si>
    <t>NO</t>
  </si>
  <si>
    <t>PERMIT NUMBER:</t>
  </si>
  <si>
    <t>Limestone Crushing</t>
  </si>
  <si>
    <t>Screening</t>
  </si>
  <si>
    <t>Secondary Crusher</t>
  </si>
  <si>
    <t>Primary Crusher</t>
  </si>
  <si>
    <t>Tertiary Crusher</t>
  </si>
  <si>
    <t>Fines Crushing</t>
  </si>
  <si>
    <t>Fines Screening</t>
  </si>
  <si>
    <t>Wet Drilling: Unfragmented Stone</t>
  </si>
  <si>
    <t>Conveyor Transfer Points</t>
  </si>
  <si>
    <t>Date of Construction</t>
  </si>
  <si>
    <t>Date of Installation</t>
  </si>
  <si>
    <t>Date of Modification</t>
  </si>
  <si>
    <t>Storage Piles</t>
  </si>
  <si>
    <t>Storage Pile</t>
  </si>
  <si>
    <t>Potential Size of All Storage Piles (Acres)</t>
  </si>
  <si>
    <t>Actual Size of All Storage Piles (Acres)</t>
  </si>
  <si>
    <t>Time Storage Pile on Site in Emission Year (days/yr)</t>
  </si>
  <si>
    <t xml:space="preserve">Dates of Construction, Installation and Modification of Equipment (where applicable).  Enter a range of dates if you have more than one piece of equipment type listed. </t>
  </si>
  <si>
    <t>PM2.5 EF</t>
  </si>
  <si>
    <t>PM10 EF</t>
  </si>
  <si>
    <t>lb/ton</t>
  </si>
  <si>
    <t>Limestone Crushing with Wet Supression</t>
  </si>
  <si>
    <t>lbs/acre-day</t>
  </si>
  <si>
    <t>Crushing Emission Factors from AP-42 (Aug 2004) Table 11.19.2-2 &amp; Appendix B.2</t>
  </si>
  <si>
    <t>Permitted Diesel Engines</t>
  </si>
  <si>
    <t>Diesel Generators</t>
  </si>
  <si>
    <t>Diesel Generator &lt;or= 600 bhp</t>
  </si>
  <si>
    <t>Diesel Generator &gt; 600 bhp</t>
  </si>
  <si>
    <t>lb/MMBtu</t>
  </si>
  <si>
    <t>IDNR Memo</t>
  </si>
  <si>
    <t>Source</t>
  </si>
  <si>
    <t>AP-42 Table 3.3-1</t>
  </si>
  <si>
    <t xml:space="preserve">Source </t>
  </si>
  <si>
    <t>AP-42 Table 3.3-2</t>
  </si>
  <si>
    <t>AP-42 Table 3.4-1</t>
  </si>
  <si>
    <t>AP-42 Table 3.4-3</t>
  </si>
  <si>
    <t>Benzene</t>
  </si>
  <si>
    <t>WebFIRE</t>
  </si>
  <si>
    <t>Stack Height (ft)</t>
  </si>
  <si>
    <t>Stack Diameter (inches)</t>
  </si>
  <si>
    <t>Exhaust Flowrate (acfm)</t>
  </si>
  <si>
    <t>Exhaust Temp (Degree F)</t>
  </si>
  <si>
    <t>%</t>
  </si>
  <si>
    <t>Permit Number</t>
  </si>
  <si>
    <t>Emission Unit #</t>
  </si>
  <si>
    <r>
      <t xml:space="preserve">Operating Limits (found in the section titled Operating Limits) - </t>
    </r>
    <r>
      <rPr>
        <b/>
        <sz val="10"/>
        <color indexed="48"/>
        <rFont val="Arial"/>
        <family val="2"/>
      </rPr>
      <t>Leave Blank if Not Applicable</t>
    </r>
  </si>
  <si>
    <t>Gallons/Yr</t>
  </si>
  <si>
    <t>Unpaved Haul Roads</t>
  </si>
  <si>
    <t>Haul Roads</t>
  </si>
  <si>
    <t>SUBMITTAL TYPE:</t>
  </si>
  <si>
    <t>Emission Inventory - Initial</t>
  </si>
  <si>
    <t>Emission Inventory - Supplemental Information</t>
  </si>
  <si>
    <t>Less Than or Equal to 100</t>
  </si>
  <si>
    <t>Greater Than 100</t>
  </si>
  <si>
    <t>PERMIT OPERATING LIMITS:</t>
  </si>
  <si>
    <t>PM10 Tons/Yr Limit:</t>
  </si>
  <si>
    <t>PM10 Lb/Hr Limit:</t>
  </si>
  <si>
    <t>PERMIT EMISSION LIMITS:</t>
  </si>
  <si>
    <t>Annual Throughput Limit (tons/yr):</t>
  </si>
  <si>
    <t>Is a dust supressant used to control emissions?</t>
  </si>
  <si>
    <t xml:space="preserve">YES </t>
  </si>
  <si>
    <t>Facility Wide Annual Usage Limit:</t>
  </si>
  <si>
    <t>Please Note: IAC rule 23.3(3)"b" limits sulfur content in #1 and #2 fuel oil to 0.5%.</t>
  </si>
  <si>
    <t>Max Hourly Rate (MMBtu/hr)</t>
  </si>
  <si>
    <t>p = number of days per year with at least 0.01 inches of precipitation (see map - AP-42 3.2.2 Figure 1)</t>
  </si>
  <si>
    <t>&amp; footnote f</t>
  </si>
  <si>
    <t>Dust Supressant Control Effieciency = 40% (Iowa DNR)</t>
  </si>
  <si>
    <t>Daily Throughput Limit (tons/day):</t>
  </si>
  <si>
    <r>
      <t xml:space="preserve">Diesel Generator </t>
    </r>
    <r>
      <rPr>
        <sz val="11"/>
        <color indexed="8"/>
        <rFont val="Calibri"/>
        <family val="2"/>
      </rPr>
      <t xml:space="preserve">≤ </t>
    </r>
    <r>
      <rPr>
        <sz val="11"/>
        <color theme="1"/>
        <rFont val="Calibri"/>
        <family val="2"/>
      </rPr>
      <t>600 bhp</t>
    </r>
  </si>
  <si>
    <t>Diesel Generator&gt; 600 bhp</t>
  </si>
  <si>
    <t>&gt; 600 bhp</t>
  </si>
  <si>
    <t>≤ 600 bhp</t>
  </si>
  <si>
    <t>Percent Sulfur:</t>
  </si>
  <si>
    <t>Sulfur Content Limit:</t>
  </si>
  <si>
    <t>71-43-2</t>
  </si>
  <si>
    <t>FACILITY WIDE EMISSIONS SUMMARY:</t>
  </si>
  <si>
    <t>EMISSION CALCULATIONS</t>
  </si>
  <si>
    <t>EMISSION FACTORS</t>
  </si>
  <si>
    <t>FACILITY PROCESSES</t>
  </si>
  <si>
    <t>Potential Hourly Uncontrolled Emissions(lb/hr)</t>
  </si>
  <si>
    <t>Potential Hourly Controlled Emissions (lb/hr)</t>
  </si>
  <si>
    <t>Source of      Emission Factor</t>
  </si>
  <si>
    <t>Annual Throughput (MMBtu/yr)</t>
  </si>
  <si>
    <t>Hours/Yr Operating Limit</t>
  </si>
  <si>
    <t>Please fill in the yellow boxes.</t>
  </si>
  <si>
    <t>Daily Hours of Operation Limit (hours/day):</t>
  </si>
  <si>
    <t>Max Hourly Rate (gal/hr)</t>
  </si>
  <si>
    <t>Actual Sulfur Content of Fuel:</t>
  </si>
  <si>
    <t>Paved Haul Roads</t>
  </si>
  <si>
    <t>Paved Haul Road</t>
  </si>
  <si>
    <t xml:space="preserve">Enter 0.6 for public road, 70 for sand &amp; gravel processing industrial road, 8.2 for quarry industrial road. </t>
  </si>
  <si>
    <t>See Map - AP-42 Figure 13.2.1-2 for value.  100 may be entered as a default value.</t>
  </si>
  <si>
    <t>Emission Factor equation from AP-42, 13.2.2 (Nov 2006): EF = [(k) x [(s/12)^0.9] x [(W/3)^0.45] ]((365-p)/365)) lb/VMT</t>
  </si>
  <si>
    <t>Emission Factor equation from AP-42, 13.2.1 (Jan 2011): EF = [(k) x [(s^0.91] x [W^1.02]]x((1-(p/1460)) lb/VMT</t>
  </si>
  <si>
    <t>k=constant=0.0022 for PM10 and 0.00054 for PM2.5 (AP-42 Table 13.2.1-1)</t>
  </si>
  <si>
    <t>sL= road surface silt loading (AP-42 Table 13.2.1-3)</t>
  </si>
  <si>
    <t>Silt Content (%):</t>
  </si>
  <si>
    <t xml:space="preserve">Enter 8.3 for haul road to/from pit or 10 for plant road. </t>
  </si>
  <si>
    <t>Last Updated 1-12-16</t>
  </si>
  <si>
    <t>**As of 2016 Potential Emissions are no longer required to be reported in the Minor Source Emissions Inventory**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</si>
</sst>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"/>
    <numFmt numFmtId="167" formatCode="0.000"/>
    <numFmt numFmtId="168" formatCode="0.000000"/>
    <numFmt numFmtId="169" formatCode="0.0000000"/>
    <numFmt numFmtId="170" formatCode="#,##0.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i/>
      <sz val="11"/>
      <color indexed="8"/>
      <name val="Calibri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i/>
      <sz val="8"/>
      <color indexed="10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12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i/>
      <sz val="8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62" fillId="0" borderId="17" xfId="0" applyNumberFormat="1" applyFont="1" applyBorder="1" applyAlignment="1" applyProtection="1">
      <alignment horizontal="center"/>
      <protection/>
    </xf>
    <xf numFmtId="2" fontId="62" fillId="0" borderId="0" xfId="0" applyNumberFormat="1" applyFont="1" applyAlignment="1" applyProtection="1">
      <alignment horizontal="center"/>
      <protection/>
    </xf>
    <xf numFmtId="2" fontId="0" fillId="0" borderId="17" xfId="0" applyNumberFormat="1" applyBorder="1" applyAlignment="1" applyProtection="1">
      <alignment horizontal="left"/>
      <protection/>
    </xf>
    <xf numFmtId="2" fontId="63" fillId="0" borderId="0" xfId="0" applyNumberFormat="1" applyFont="1" applyAlignment="1" applyProtection="1">
      <alignment horizontal="left"/>
      <protection/>
    </xf>
    <xf numFmtId="0" fontId="62" fillId="0" borderId="17" xfId="0" applyFont="1" applyBorder="1" applyAlignment="1" applyProtection="1">
      <alignment horizontal="center"/>
      <protection/>
    </xf>
    <xf numFmtId="0" fontId="64" fillId="33" borderId="18" xfId="0" applyFont="1" applyFill="1" applyBorder="1" applyAlignment="1" applyProtection="1">
      <alignment/>
      <protection locked="0"/>
    </xf>
    <xf numFmtId="0" fontId="64" fillId="33" borderId="17" xfId="0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65" fillId="0" borderId="0" xfId="0" applyFont="1" applyBorder="1" applyAlignment="1" applyProtection="1">
      <alignment/>
      <protection/>
    </xf>
    <xf numFmtId="0" fontId="0" fillId="33" borderId="17" xfId="0" applyFill="1" applyBorder="1" applyAlignment="1" applyProtection="1">
      <alignment horizontal="center"/>
      <protection locked="0"/>
    </xf>
    <xf numFmtId="3" fontId="0" fillId="33" borderId="17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 horizontal="center"/>
      <protection/>
    </xf>
    <xf numFmtId="0" fontId="5" fillId="0" borderId="0" xfId="57" applyFont="1" applyBorder="1" applyAlignment="1" applyProtection="1">
      <alignment vertical="center" wrapText="1"/>
      <protection/>
    </xf>
    <xf numFmtId="0" fontId="60" fillId="0" borderId="0" xfId="0" applyFont="1" applyFill="1" applyBorder="1" applyAlignment="1" applyProtection="1">
      <alignment horizontal="left"/>
      <protection/>
    </xf>
    <xf numFmtId="0" fontId="5" fillId="0" borderId="0" xfId="57" applyFont="1" applyBorder="1" applyAlignment="1" applyProtection="1">
      <alignment/>
      <protection/>
    </xf>
    <xf numFmtId="0" fontId="5" fillId="0" borderId="0" xfId="57" applyFont="1" applyFill="1" applyAlignment="1" applyProtection="1">
      <alignment/>
      <protection/>
    </xf>
    <xf numFmtId="0" fontId="5" fillId="0" borderId="17" xfId="57" applyFont="1" applyFill="1" applyBorder="1" applyAlignment="1" applyProtection="1">
      <alignment horizontal="center" vertical="center" wrapText="1"/>
      <protection/>
    </xf>
    <xf numFmtId="0" fontId="5" fillId="34" borderId="17" xfId="57" applyFont="1" applyFill="1" applyBorder="1" applyAlignment="1" applyProtection="1">
      <alignment horizontal="center" vertical="center" wrapText="1"/>
      <protection/>
    </xf>
    <xf numFmtId="3" fontId="5" fillId="0" borderId="17" xfId="57" applyNumberFormat="1" applyFont="1" applyFill="1" applyBorder="1" applyAlignment="1" applyProtection="1">
      <alignment horizontal="center" vertical="center" wrapText="1"/>
      <protection/>
    </xf>
    <xf numFmtId="0" fontId="5" fillId="33" borderId="17" xfId="57" applyFont="1" applyFill="1" applyBorder="1" applyAlignment="1" applyProtection="1">
      <alignment horizontal="center" vertical="center" wrapText="1"/>
      <protection locked="0"/>
    </xf>
    <xf numFmtId="0" fontId="5" fillId="33" borderId="17" xfId="57" applyFont="1" applyFill="1" applyBorder="1" applyAlignment="1" applyProtection="1">
      <alignment horizontal="center"/>
      <protection locked="0"/>
    </xf>
    <xf numFmtId="0" fontId="5" fillId="0" borderId="0" xfId="57" applyFont="1" applyBorder="1" applyAlignment="1" applyProtection="1">
      <alignment vertical="center"/>
      <protection/>
    </xf>
    <xf numFmtId="9" fontId="5" fillId="33" borderId="17" xfId="61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 horizontal="center"/>
    </xf>
    <xf numFmtId="0" fontId="0" fillId="0" borderId="17" xfId="0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165" fontId="0" fillId="0" borderId="0" xfId="0" applyNumberFormat="1" applyAlignment="1">
      <alignment/>
    </xf>
    <xf numFmtId="0" fontId="36" fillId="0" borderId="0" xfId="57" applyFont="1" applyAlignment="1" applyProtection="1">
      <alignment horizontal="left"/>
      <protection/>
    </xf>
    <xf numFmtId="0" fontId="60" fillId="0" borderId="0" xfId="0" applyFont="1" applyAlignment="1">
      <alignment horizontal="left"/>
    </xf>
    <xf numFmtId="0" fontId="67" fillId="0" borderId="0" xfId="0" applyFont="1" applyAlignment="1">
      <alignment/>
    </xf>
    <xf numFmtId="0" fontId="68" fillId="0" borderId="0" xfId="0" applyFont="1" applyAlignment="1" applyProtection="1">
      <alignment/>
      <protection/>
    </xf>
    <xf numFmtId="164" fontId="0" fillId="0" borderId="17" xfId="0" applyNumberFormat="1" applyBorder="1" applyAlignment="1" applyProtection="1">
      <alignment horizontal="center"/>
      <protection/>
    </xf>
    <xf numFmtId="2" fontId="0" fillId="0" borderId="17" xfId="0" applyNumberFormat="1" applyBorder="1" applyAlignment="1" applyProtection="1">
      <alignment horizontal="center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0" xfId="57" applyProtection="1">
      <alignment/>
      <protection/>
    </xf>
    <xf numFmtId="0" fontId="3" fillId="0" borderId="0" xfId="57" applyFont="1" applyProtection="1">
      <alignment/>
      <protection/>
    </xf>
    <xf numFmtId="0" fontId="8" fillId="0" borderId="0" xfId="57" applyFont="1" applyProtection="1">
      <alignment/>
      <protection/>
    </xf>
    <xf numFmtId="0" fontId="2" fillId="0" borderId="0" xfId="57" applyFont="1" applyProtection="1">
      <alignment/>
      <protection/>
    </xf>
    <xf numFmtId="0" fontId="4" fillId="35" borderId="17" xfId="57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/>
    </xf>
    <xf numFmtId="0" fontId="62" fillId="0" borderId="0" xfId="0" applyFont="1" applyBorder="1" applyAlignment="1" applyProtection="1">
      <alignment horizontal="center"/>
      <protection/>
    </xf>
    <xf numFmtId="2" fontId="62" fillId="0" borderId="0" xfId="0" applyNumberFormat="1" applyFont="1" applyBorder="1" applyAlignment="1" applyProtection="1">
      <alignment horizontal="center"/>
      <protection/>
    </xf>
    <xf numFmtId="4" fontId="0" fillId="33" borderId="19" xfId="0" applyNumberFormat="1" applyFill="1" applyBorder="1" applyAlignment="1" applyProtection="1">
      <alignment horizontal="center"/>
      <protection locked="0"/>
    </xf>
    <xf numFmtId="168" fontId="0" fillId="0" borderId="17" xfId="0" applyNumberFormat="1" applyBorder="1" applyAlignment="1" applyProtection="1">
      <alignment horizontal="center"/>
      <protection/>
    </xf>
    <xf numFmtId="2" fontId="0" fillId="0" borderId="17" xfId="0" applyNumberFormat="1" applyFill="1" applyBorder="1" applyAlignment="1" applyProtection="1">
      <alignment horizontal="center"/>
      <protection/>
    </xf>
    <xf numFmtId="0" fontId="0" fillId="0" borderId="12" xfId="0" applyFill="1" applyBorder="1" applyAlignment="1">
      <alignment/>
    </xf>
    <xf numFmtId="2" fontId="0" fillId="0" borderId="20" xfId="0" applyNumberForma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4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left"/>
      <protection/>
    </xf>
    <xf numFmtId="0" fontId="64" fillId="0" borderId="21" xfId="0" applyFont="1" applyBorder="1" applyAlignment="1" applyProtection="1">
      <alignment/>
      <protection/>
    </xf>
    <xf numFmtId="0" fontId="64" fillId="0" borderId="17" xfId="0" applyFont="1" applyBorder="1" applyAlignment="1" applyProtection="1">
      <alignment horizontal="center"/>
      <protection/>
    </xf>
    <xf numFmtId="0" fontId="64" fillId="0" borderId="17" xfId="0" applyFont="1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left"/>
      <protection/>
    </xf>
    <xf numFmtId="0" fontId="2" fillId="0" borderId="22" xfId="0" applyFont="1" applyFill="1" applyBorder="1" applyAlignment="1" applyProtection="1">
      <alignment horizontal="left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2" fillId="0" borderId="24" xfId="0" applyFont="1" applyFill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 horizontal="center"/>
      <protection/>
    </xf>
    <xf numFmtId="0" fontId="60" fillId="0" borderId="0" xfId="0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4" fontId="0" fillId="33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0" fillId="0" borderId="17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/>
      <protection/>
    </xf>
    <xf numFmtId="4" fontId="70" fillId="33" borderId="17" xfId="0" applyNumberFormat="1" applyFont="1" applyFill="1" applyBorder="1" applyAlignment="1" applyProtection="1">
      <alignment horizontal="center"/>
      <protection locked="0"/>
    </xf>
    <xf numFmtId="2" fontId="64" fillId="33" borderId="17" xfId="0" applyNumberFormat="1" applyFont="1" applyFill="1" applyBorder="1" applyAlignment="1" applyProtection="1">
      <alignment/>
      <protection locked="0"/>
    </xf>
    <xf numFmtId="2" fontId="70" fillId="33" borderId="17" xfId="0" applyNumberFormat="1" applyFont="1" applyFill="1" applyBorder="1" applyAlignment="1" applyProtection="1">
      <alignment horizontal="center"/>
      <protection locked="0"/>
    </xf>
    <xf numFmtId="0" fontId="64" fillId="0" borderId="25" xfId="0" applyFont="1" applyBorder="1" applyAlignment="1" applyProtection="1">
      <alignment wrapText="1"/>
      <protection/>
    </xf>
    <xf numFmtId="0" fontId="64" fillId="0" borderId="0" xfId="0" applyFont="1" applyAlignment="1" applyProtection="1">
      <alignment horizontal="left"/>
      <protection/>
    </xf>
    <xf numFmtId="0" fontId="64" fillId="0" borderId="0" xfId="0" applyFont="1" applyFill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64" fillId="33" borderId="17" xfId="0" applyFont="1" applyFill="1" applyBorder="1" applyAlignment="1" applyProtection="1">
      <alignment/>
      <protection locked="0"/>
    </xf>
    <xf numFmtId="4" fontId="64" fillId="33" borderId="17" xfId="0" applyNumberFormat="1" applyFont="1" applyFill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63" fillId="0" borderId="17" xfId="0" applyFont="1" applyBorder="1" applyAlignment="1" applyProtection="1">
      <alignment horizontal="center"/>
      <protection/>
    </xf>
    <xf numFmtId="0" fontId="63" fillId="0" borderId="0" xfId="0" applyFont="1" applyBorder="1" applyAlignment="1" applyProtection="1">
      <alignment horizontal="center"/>
      <protection/>
    </xf>
    <xf numFmtId="0" fontId="63" fillId="0" borderId="0" xfId="0" applyFont="1" applyAlignment="1" applyProtection="1">
      <alignment horizontal="center"/>
      <protection/>
    </xf>
    <xf numFmtId="4" fontId="0" fillId="33" borderId="17" xfId="0" applyNumberFormat="1" applyFill="1" applyBorder="1" applyAlignment="1" applyProtection="1">
      <alignment/>
      <protection locked="0"/>
    </xf>
    <xf numFmtId="0" fontId="71" fillId="33" borderId="17" xfId="0" applyFont="1" applyFill="1" applyBorder="1" applyAlignment="1" applyProtection="1">
      <alignment horizontal="center"/>
      <protection locked="0"/>
    </xf>
    <xf numFmtId="0" fontId="71" fillId="33" borderId="17" xfId="0" applyFont="1" applyFill="1" applyBorder="1" applyAlignment="1" applyProtection="1">
      <alignment/>
      <protection locked="0"/>
    </xf>
    <xf numFmtId="4" fontId="71" fillId="33" borderId="17" xfId="0" applyNumberFormat="1" applyFont="1" applyFill="1" applyBorder="1" applyAlignment="1" applyProtection="1">
      <alignment horizontal="center"/>
      <protection locked="0"/>
    </xf>
    <xf numFmtId="0" fontId="14" fillId="0" borderId="17" xfId="57" applyFont="1" applyBorder="1" applyAlignment="1" applyProtection="1">
      <alignment horizontal="right"/>
      <protection/>
    </xf>
    <xf numFmtId="4" fontId="71" fillId="0" borderId="17" xfId="0" applyNumberFormat="1" applyFont="1" applyBorder="1" applyAlignment="1" applyProtection="1">
      <alignment horizontal="center"/>
      <protection/>
    </xf>
    <xf numFmtId="4" fontId="71" fillId="0" borderId="17" xfId="0" applyNumberFormat="1" applyFont="1" applyFill="1" applyBorder="1" applyAlignment="1" applyProtection="1">
      <alignment horizontal="center"/>
      <protection/>
    </xf>
    <xf numFmtId="0" fontId="14" fillId="0" borderId="17" xfId="57" applyFont="1" applyBorder="1" applyAlignment="1" applyProtection="1">
      <alignment horizontal="center"/>
      <protection/>
    </xf>
    <xf numFmtId="4" fontId="4" fillId="35" borderId="17" xfId="57" applyNumberFormat="1" applyFill="1" applyBorder="1" applyAlignment="1" applyProtection="1">
      <alignment horizontal="center"/>
      <protection locked="0"/>
    </xf>
    <xf numFmtId="170" fontId="0" fillId="33" borderId="17" xfId="0" applyNumberFormat="1" applyFill="1" applyBorder="1" applyAlignment="1" applyProtection="1">
      <alignment horizontal="center"/>
      <protection locked="0"/>
    </xf>
    <xf numFmtId="0" fontId="64" fillId="0" borderId="17" xfId="0" applyFont="1" applyFill="1" applyBorder="1" applyAlignment="1" applyProtection="1">
      <alignment horizontal="right"/>
      <protection/>
    </xf>
    <xf numFmtId="0" fontId="64" fillId="33" borderId="17" xfId="0" applyFont="1" applyFill="1" applyBorder="1" applyAlignment="1" applyProtection="1">
      <alignment horizontal="left"/>
      <protection locked="0"/>
    </xf>
    <xf numFmtId="0" fontId="60" fillId="0" borderId="24" xfId="0" applyFont="1" applyBorder="1" applyAlignment="1" applyProtection="1">
      <alignment horizontal="center" wrapText="1"/>
      <protection/>
    </xf>
    <xf numFmtId="0" fontId="60" fillId="0" borderId="17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8" fillId="0" borderId="0" xfId="0" applyFont="1" applyAlignment="1">
      <alignment horizontal="left" vertical="center"/>
    </xf>
    <xf numFmtId="4" fontId="71" fillId="33" borderId="17" xfId="0" applyNumberFormat="1" applyFont="1" applyFill="1" applyBorder="1" applyAlignment="1" applyProtection="1">
      <alignment/>
      <protection locked="0"/>
    </xf>
    <xf numFmtId="0" fontId="64" fillId="0" borderId="17" xfId="0" applyFont="1" applyBorder="1" applyAlignment="1" applyProtection="1">
      <alignment horizontal="left"/>
      <protection/>
    </xf>
    <xf numFmtId="0" fontId="64" fillId="0" borderId="19" xfId="0" applyFont="1" applyFill="1" applyBorder="1" applyAlignment="1" applyProtection="1">
      <alignment horizontal="right"/>
      <protection/>
    </xf>
    <xf numFmtId="0" fontId="64" fillId="0" borderId="26" xfId="0" applyFont="1" applyFill="1" applyBorder="1" applyAlignment="1" applyProtection="1">
      <alignment horizontal="right"/>
      <protection/>
    </xf>
    <xf numFmtId="0" fontId="64" fillId="0" borderId="17" xfId="0" applyFont="1" applyFill="1" applyBorder="1" applyAlignment="1" applyProtection="1">
      <alignment horizontal="right"/>
      <protection/>
    </xf>
    <xf numFmtId="0" fontId="64" fillId="0" borderId="17" xfId="0" applyFont="1" applyBorder="1" applyAlignment="1" applyProtection="1">
      <alignment horizontal="right"/>
      <protection/>
    </xf>
    <xf numFmtId="0" fontId="68" fillId="0" borderId="0" xfId="0" applyFont="1" applyAlignment="1" applyProtection="1">
      <alignment horizontal="left"/>
      <protection/>
    </xf>
    <xf numFmtId="0" fontId="64" fillId="33" borderId="17" xfId="0" applyFont="1" applyFill="1" applyBorder="1" applyAlignment="1" applyProtection="1">
      <alignment horizontal="left"/>
      <protection locked="0"/>
    </xf>
    <xf numFmtId="0" fontId="64" fillId="33" borderId="19" xfId="0" applyFont="1" applyFill="1" applyBorder="1" applyAlignment="1" applyProtection="1">
      <alignment horizontal="left"/>
      <protection locked="0"/>
    </xf>
    <xf numFmtId="0" fontId="64" fillId="33" borderId="26" xfId="0" applyFont="1" applyFill="1" applyBorder="1" applyAlignment="1" applyProtection="1">
      <alignment horizontal="left"/>
      <protection locked="0"/>
    </xf>
    <xf numFmtId="0" fontId="64" fillId="0" borderId="0" xfId="0" applyFont="1" applyBorder="1" applyAlignment="1" applyProtection="1">
      <alignment horizontal="left" wrapText="1"/>
      <protection/>
    </xf>
    <xf numFmtId="0" fontId="64" fillId="0" borderId="19" xfId="0" applyFont="1" applyBorder="1" applyAlignment="1" applyProtection="1">
      <alignment horizontal="center"/>
      <protection/>
    </xf>
    <xf numFmtId="0" fontId="64" fillId="0" borderId="26" xfId="0" applyFont="1" applyBorder="1" applyAlignment="1" applyProtection="1">
      <alignment horizontal="center"/>
      <protection/>
    </xf>
    <xf numFmtId="0" fontId="64" fillId="33" borderId="23" xfId="0" applyFont="1" applyFill="1" applyBorder="1" applyAlignment="1" applyProtection="1">
      <alignment horizontal="left"/>
      <protection locked="0"/>
    </xf>
    <xf numFmtId="0" fontId="70" fillId="0" borderId="17" xfId="0" applyFont="1" applyBorder="1" applyAlignment="1" applyProtection="1">
      <alignment horizontal="left"/>
      <protection/>
    </xf>
    <xf numFmtId="0" fontId="5" fillId="0" borderId="0" xfId="57" applyFont="1" applyAlignment="1" applyProtection="1">
      <alignment horizontal="right" vertical="center" wrapText="1"/>
      <protection/>
    </xf>
    <xf numFmtId="0" fontId="5" fillId="0" borderId="27" xfId="57" applyFont="1" applyBorder="1" applyAlignment="1" applyProtection="1">
      <alignment horizontal="right" vertical="center" wrapText="1"/>
      <protection/>
    </xf>
    <xf numFmtId="0" fontId="5" fillId="0" borderId="25" xfId="57" applyFont="1" applyBorder="1" applyAlignment="1" applyProtection="1">
      <alignment horizontal="left" vertical="center"/>
      <protection/>
    </xf>
    <xf numFmtId="0" fontId="5" fillId="0" borderId="0" xfId="57" applyFont="1" applyBorder="1" applyAlignment="1" applyProtection="1">
      <alignment horizontal="left" vertical="center"/>
      <protection/>
    </xf>
    <xf numFmtId="0" fontId="5" fillId="0" borderId="0" xfId="57" applyFont="1" applyFill="1" applyAlignment="1" applyProtection="1">
      <alignment horizontal="right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Border="1" applyAlignment="1" applyProtection="1">
      <alignment horizontal="right" vertical="center" wrapText="1"/>
      <protection/>
    </xf>
    <xf numFmtId="0" fontId="5" fillId="0" borderId="0" xfId="57" applyFont="1" applyBorder="1" applyAlignment="1" applyProtection="1">
      <alignment horizontal="left" vertical="center" wrapText="1"/>
      <protection/>
    </xf>
    <xf numFmtId="0" fontId="5" fillId="0" borderId="0" xfId="57" applyFont="1" applyAlignment="1" applyProtection="1">
      <alignment horizontal="right"/>
      <protection/>
    </xf>
    <xf numFmtId="0" fontId="5" fillId="0" borderId="27" xfId="57" applyFont="1" applyBorder="1" applyAlignment="1" applyProtection="1">
      <alignment horizontal="right"/>
      <protection/>
    </xf>
    <xf numFmtId="0" fontId="5" fillId="0" borderId="0" xfId="57" applyFont="1" applyBorder="1" applyAlignment="1" applyProtection="1">
      <alignment horizontal="left"/>
      <protection/>
    </xf>
    <xf numFmtId="0" fontId="60" fillId="0" borderId="19" xfId="0" applyFont="1" applyBorder="1" applyAlignment="1" applyProtection="1">
      <alignment horizontal="center"/>
      <protection/>
    </xf>
    <xf numFmtId="0" fontId="60" fillId="0" borderId="26" xfId="0" applyFont="1" applyBorder="1" applyAlignment="1" applyProtection="1">
      <alignment horizontal="center"/>
      <protection/>
    </xf>
    <xf numFmtId="0" fontId="60" fillId="0" borderId="17" xfId="0" applyFont="1" applyBorder="1" applyAlignment="1" applyProtection="1">
      <alignment horizontal="center" wrapText="1"/>
      <protection/>
    </xf>
    <xf numFmtId="0" fontId="3" fillId="0" borderId="22" xfId="0" applyFont="1" applyFill="1" applyBorder="1" applyAlignment="1" applyProtection="1">
      <alignment horizontal="center" wrapText="1"/>
      <protection/>
    </xf>
    <xf numFmtId="0" fontId="3" fillId="0" borderId="24" xfId="0" applyFont="1" applyFill="1" applyBorder="1" applyAlignment="1" applyProtection="1">
      <alignment horizontal="center" wrapText="1"/>
      <protection/>
    </xf>
    <xf numFmtId="0" fontId="60" fillId="0" borderId="22" xfId="0" applyFont="1" applyBorder="1" applyAlignment="1" applyProtection="1">
      <alignment horizontal="center" wrapText="1"/>
      <protection/>
    </xf>
    <xf numFmtId="0" fontId="60" fillId="0" borderId="24" xfId="0" applyFont="1" applyBorder="1" applyAlignment="1" applyProtection="1">
      <alignment horizontal="center" wrapText="1"/>
      <protection/>
    </xf>
    <xf numFmtId="0" fontId="60" fillId="0" borderId="19" xfId="0" applyFont="1" applyBorder="1" applyAlignment="1" applyProtection="1">
      <alignment horizontal="center" wrapText="1"/>
      <protection/>
    </xf>
    <xf numFmtId="0" fontId="60" fillId="0" borderId="26" xfId="0" applyFont="1" applyBorder="1" applyAlignment="1" applyProtection="1">
      <alignment horizontal="center" wrapText="1"/>
      <protection/>
    </xf>
    <xf numFmtId="0" fontId="68" fillId="0" borderId="28" xfId="0" applyFont="1" applyBorder="1" applyAlignment="1" applyProtection="1">
      <alignment horizontal="left"/>
      <protection/>
    </xf>
    <xf numFmtId="0" fontId="60" fillId="33" borderId="17" xfId="0" applyFont="1" applyFill="1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60" fillId="0" borderId="29" xfId="0" applyFont="1" applyBorder="1" applyAlignment="1" applyProtection="1">
      <alignment horizontal="center" wrapText="1"/>
      <protection/>
    </xf>
    <xf numFmtId="0" fontId="60" fillId="0" borderId="30" xfId="0" applyFont="1" applyBorder="1" applyAlignment="1" applyProtection="1">
      <alignment horizontal="center" wrapText="1"/>
      <protection/>
    </xf>
    <xf numFmtId="0" fontId="60" fillId="0" borderId="21" xfId="0" applyFont="1" applyBorder="1" applyAlignment="1" applyProtection="1">
      <alignment horizontal="center" wrapText="1"/>
      <protection/>
    </xf>
    <xf numFmtId="0" fontId="60" fillId="0" borderId="31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left"/>
      <protection/>
    </xf>
    <xf numFmtId="0" fontId="72" fillId="0" borderId="22" xfId="0" applyFont="1" applyBorder="1" applyAlignment="1" applyProtection="1">
      <alignment horizontal="center" wrapText="1"/>
      <protection/>
    </xf>
    <xf numFmtId="0" fontId="72" fillId="0" borderId="24" xfId="0" applyFont="1" applyBorder="1" applyAlignment="1" applyProtection="1">
      <alignment horizontal="center" wrapText="1"/>
      <protection/>
    </xf>
    <xf numFmtId="0" fontId="13" fillId="0" borderId="22" xfId="0" applyFont="1" applyFill="1" applyBorder="1" applyAlignment="1" applyProtection="1">
      <alignment horizontal="center" wrapText="1"/>
      <protection/>
    </xf>
    <xf numFmtId="0" fontId="13" fillId="0" borderId="24" xfId="0" applyFont="1" applyFill="1" applyBorder="1" applyAlignment="1" applyProtection="1">
      <alignment horizontal="center" wrapText="1"/>
      <protection/>
    </xf>
    <xf numFmtId="0" fontId="72" fillId="0" borderId="17" xfId="0" applyFont="1" applyBorder="1" applyAlignment="1" applyProtection="1">
      <alignment horizontal="center" wrapText="1"/>
      <protection/>
    </xf>
    <xf numFmtId="0" fontId="73" fillId="0" borderId="28" xfId="0" applyFont="1" applyBorder="1" applyAlignment="1" applyProtection="1">
      <alignment horizontal="left"/>
      <protection/>
    </xf>
    <xf numFmtId="0" fontId="68" fillId="0" borderId="0" xfId="0" applyFont="1" applyAlignment="1">
      <alignment horizontal="left"/>
    </xf>
    <xf numFmtId="0" fontId="0" fillId="0" borderId="17" xfId="0" applyBorder="1" applyAlignment="1" applyProtection="1">
      <alignment horizontal="right"/>
      <protection/>
    </xf>
    <xf numFmtId="0" fontId="73" fillId="0" borderId="23" xfId="0" applyFont="1" applyBorder="1" applyAlignment="1" applyProtection="1">
      <alignment horizontal="left"/>
      <protection/>
    </xf>
    <xf numFmtId="0" fontId="60" fillId="0" borderId="17" xfId="0" applyFont="1" applyBorder="1" applyAlignment="1" applyProtection="1">
      <alignment horizontal="center"/>
      <protection/>
    </xf>
    <xf numFmtId="0" fontId="60" fillId="0" borderId="23" xfId="0" applyFont="1" applyBorder="1" applyAlignment="1" applyProtection="1">
      <alignment horizontal="center" wrapText="1"/>
      <protection/>
    </xf>
    <xf numFmtId="0" fontId="68" fillId="0" borderId="0" xfId="0" applyFont="1" applyAlignment="1">
      <alignment horizontal="left" vertical="center"/>
    </xf>
    <xf numFmtId="49" fontId="4" fillId="0" borderId="25" xfId="0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74" fillId="0" borderId="0" xfId="0" applyFont="1" applyAlignment="1">
      <alignment horizontal="left"/>
    </xf>
    <xf numFmtId="0" fontId="74" fillId="0" borderId="0" xfId="0" applyFont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20"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22.57421875" style="9" customWidth="1"/>
    <col min="2" max="2" width="15.421875" style="9" customWidth="1"/>
    <col min="3" max="3" width="16.7109375" style="9" customWidth="1"/>
    <col min="4" max="4" width="18.8515625" style="9" customWidth="1"/>
    <col min="5" max="5" width="17.8515625" style="9" customWidth="1"/>
    <col min="6" max="6" width="14.7109375" style="9" customWidth="1"/>
    <col min="7" max="7" width="13.00390625" style="9" customWidth="1"/>
    <col min="8" max="8" width="8.7109375" style="9" customWidth="1"/>
    <col min="9" max="9" width="13.140625" style="9" customWidth="1"/>
    <col min="10" max="10" width="5.00390625" style="9" customWidth="1"/>
    <col min="11" max="11" width="8.421875" style="9" hidden="1" customWidth="1"/>
    <col min="12" max="12" width="13.7109375" style="9" customWidth="1"/>
    <col min="13" max="13" width="11.7109375" style="9" customWidth="1"/>
    <col min="14" max="16384" width="9.140625" style="9" customWidth="1"/>
  </cols>
  <sheetData>
    <row r="1" spans="1:7" ht="18.75">
      <c r="A1" s="135" t="s">
        <v>83</v>
      </c>
      <c r="B1" s="135"/>
      <c r="G1" s="72" t="s">
        <v>187</v>
      </c>
    </row>
    <row r="2" ht="15">
      <c r="A2" s="9" t="s">
        <v>173</v>
      </c>
    </row>
    <row r="3" ht="15">
      <c r="A3" s="73"/>
    </row>
    <row r="4" spans="1:13" ht="15">
      <c r="A4" s="74" t="s">
        <v>138</v>
      </c>
      <c r="B4" s="136"/>
      <c r="C4" s="136"/>
      <c r="D4" s="140" t="s">
        <v>56</v>
      </c>
      <c r="E4" s="141"/>
      <c r="F4" s="136"/>
      <c r="G4" s="136"/>
      <c r="H4" s="73"/>
      <c r="I4" s="73"/>
      <c r="J4" s="73"/>
      <c r="K4" s="73"/>
      <c r="L4" s="73"/>
      <c r="M4" s="73"/>
    </row>
    <row r="5" spans="1:13" ht="15" customHeight="1">
      <c r="A5" s="75" t="s">
        <v>0</v>
      </c>
      <c r="B5" s="137"/>
      <c r="C5" s="142"/>
      <c r="D5" s="142"/>
      <c r="E5" s="138"/>
      <c r="F5" s="76" t="s">
        <v>40</v>
      </c>
      <c r="G5" s="19"/>
      <c r="H5" s="73" t="s">
        <v>76</v>
      </c>
      <c r="I5" s="139" t="s">
        <v>75</v>
      </c>
      <c r="J5" s="139"/>
      <c r="K5" s="139"/>
      <c r="L5" s="139"/>
      <c r="M5" s="139"/>
    </row>
    <row r="6" spans="1:13" ht="15">
      <c r="A6" s="75" t="s">
        <v>4</v>
      </c>
      <c r="B6" s="137"/>
      <c r="C6" s="142"/>
      <c r="D6" s="142"/>
      <c r="E6" s="142"/>
      <c r="F6" s="142"/>
      <c r="G6" s="138"/>
      <c r="H6" s="100"/>
      <c r="I6" s="139"/>
      <c r="J6" s="139"/>
      <c r="K6" s="139"/>
      <c r="L6" s="139"/>
      <c r="M6" s="139"/>
    </row>
    <row r="7" spans="1:13" ht="15">
      <c r="A7" s="75" t="s">
        <v>41</v>
      </c>
      <c r="B7" s="136"/>
      <c r="C7" s="136"/>
      <c r="D7" s="136"/>
      <c r="E7" s="136"/>
      <c r="F7" s="136"/>
      <c r="G7" s="136"/>
      <c r="H7" s="73"/>
      <c r="I7" s="73"/>
      <c r="J7" s="73"/>
      <c r="K7" s="73"/>
      <c r="L7" s="73"/>
      <c r="M7" s="73"/>
    </row>
    <row r="8" spans="1:13" ht="15">
      <c r="A8" s="75" t="s">
        <v>44</v>
      </c>
      <c r="B8" s="137"/>
      <c r="C8" s="138"/>
      <c r="D8" s="77" t="s">
        <v>43</v>
      </c>
      <c r="E8" s="20" t="s">
        <v>42</v>
      </c>
      <c r="F8" s="78" t="s">
        <v>46</v>
      </c>
      <c r="G8" s="122"/>
      <c r="H8" s="73"/>
      <c r="I8" s="73"/>
      <c r="J8" s="73"/>
      <c r="K8" s="73"/>
      <c r="L8" s="73"/>
      <c r="M8" s="73"/>
    </row>
    <row r="9" spans="1:13" ht="15">
      <c r="A9" s="75" t="s">
        <v>1</v>
      </c>
      <c r="B9" s="136"/>
      <c r="C9" s="136"/>
      <c r="D9" s="136"/>
      <c r="E9" s="136"/>
      <c r="F9" s="136"/>
      <c r="G9" s="136"/>
      <c r="H9" s="73"/>
      <c r="I9" s="73"/>
      <c r="J9" s="73"/>
      <c r="K9" s="73"/>
      <c r="L9" s="73"/>
      <c r="M9" s="73"/>
    </row>
    <row r="10" spans="1:13" ht="15">
      <c r="A10" s="75" t="s">
        <v>44</v>
      </c>
      <c r="B10" s="137"/>
      <c r="C10" s="138"/>
      <c r="D10" s="77" t="s">
        <v>43</v>
      </c>
      <c r="E10" s="20"/>
      <c r="F10" s="78" t="s">
        <v>46</v>
      </c>
      <c r="G10" s="122"/>
      <c r="H10" s="73"/>
      <c r="I10" s="73"/>
      <c r="J10" s="73"/>
      <c r="K10" s="73"/>
      <c r="L10" s="73"/>
      <c r="M10" s="73"/>
    </row>
    <row r="11" spans="1:13" ht="15">
      <c r="A11" s="75" t="s">
        <v>2</v>
      </c>
      <c r="B11" s="137"/>
      <c r="C11" s="138"/>
      <c r="D11" s="79" t="s">
        <v>3</v>
      </c>
      <c r="E11" s="137"/>
      <c r="F11" s="142"/>
      <c r="G11" s="138"/>
      <c r="H11" s="73"/>
      <c r="I11" s="73"/>
      <c r="J11" s="73"/>
      <c r="K11" s="73" t="s">
        <v>139</v>
      </c>
      <c r="L11" s="73"/>
      <c r="M11" s="73"/>
    </row>
    <row r="12" spans="1:13" ht="15">
      <c r="A12" s="80" t="s">
        <v>45</v>
      </c>
      <c r="B12" s="136"/>
      <c r="C12" s="136"/>
      <c r="D12" s="136"/>
      <c r="E12" s="136"/>
      <c r="F12" s="136"/>
      <c r="G12" s="136"/>
      <c r="H12" s="73"/>
      <c r="I12" s="73"/>
      <c r="J12" s="73"/>
      <c r="K12" s="73" t="s">
        <v>140</v>
      </c>
      <c r="L12" s="73"/>
      <c r="M12" s="73"/>
    </row>
    <row r="13" spans="1:13" ht="15">
      <c r="A13" s="80" t="s">
        <v>47</v>
      </c>
      <c r="B13" s="136"/>
      <c r="C13" s="136"/>
      <c r="D13" s="136"/>
      <c r="E13" s="136"/>
      <c r="F13" s="136"/>
      <c r="G13" s="136"/>
      <c r="H13" s="73"/>
      <c r="I13" s="73"/>
      <c r="J13" s="73"/>
      <c r="K13" s="73"/>
      <c r="L13" s="73"/>
      <c r="M13" s="73"/>
    </row>
    <row r="14" spans="1:13" ht="15">
      <c r="A14" s="80" t="s">
        <v>48</v>
      </c>
      <c r="B14" s="136"/>
      <c r="C14" s="136"/>
      <c r="D14" s="136"/>
      <c r="E14" s="136"/>
      <c r="F14" s="136"/>
      <c r="G14" s="136"/>
      <c r="H14" s="73"/>
      <c r="I14" s="73"/>
      <c r="J14" s="73"/>
      <c r="K14" s="73"/>
      <c r="L14" s="73"/>
      <c r="M14" s="73"/>
    </row>
    <row r="15" spans="1:13" ht="15">
      <c r="A15" s="75" t="s">
        <v>44</v>
      </c>
      <c r="B15" s="137"/>
      <c r="C15" s="138"/>
      <c r="D15" s="77" t="s">
        <v>43</v>
      </c>
      <c r="E15" s="20"/>
      <c r="F15" s="78" t="s">
        <v>46</v>
      </c>
      <c r="G15" s="122"/>
      <c r="H15" s="73"/>
      <c r="I15" s="73"/>
      <c r="J15" s="73"/>
      <c r="K15" s="73" t="s">
        <v>141</v>
      </c>
      <c r="L15" s="73"/>
      <c r="M15" s="73"/>
    </row>
    <row r="16" spans="1:13" ht="15">
      <c r="A16" s="81" t="s">
        <v>49</v>
      </c>
      <c r="B16" s="137"/>
      <c r="C16" s="138"/>
      <c r="D16" s="79" t="s">
        <v>3</v>
      </c>
      <c r="E16" s="137"/>
      <c r="F16" s="142"/>
      <c r="G16" s="138"/>
      <c r="H16" s="73"/>
      <c r="I16" s="73"/>
      <c r="J16" s="73"/>
      <c r="K16" s="73" t="s">
        <v>142</v>
      </c>
      <c r="L16" s="73"/>
      <c r="M16" s="73"/>
    </row>
    <row r="17" spans="1:13" ht="15">
      <c r="A17" s="82"/>
      <c r="B17" s="73"/>
      <c r="C17" s="73"/>
      <c r="D17" s="73"/>
      <c r="E17" s="101"/>
      <c r="F17" s="73"/>
      <c r="G17" s="73"/>
      <c r="H17" s="73"/>
      <c r="I17" s="73"/>
      <c r="J17" s="102"/>
      <c r="K17" s="102"/>
      <c r="L17" s="73"/>
      <c r="M17" s="73"/>
    </row>
    <row r="18" spans="1:13" ht="15">
      <c r="A18" s="83" t="s">
        <v>50</v>
      </c>
      <c r="B18" s="77" t="s">
        <v>51</v>
      </c>
      <c r="C18" s="136"/>
      <c r="D18" s="136"/>
      <c r="E18" s="77" t="s">
        <v>52</v>
      </c>
      <c r="F18" s="136"/>
      <c r="G18" s="136"/>
      <c r="H18" s="73"/>
      <c r="I18" s="73"/>
      <c r="J18" s="73"/>
      <c r="K18" s="73"/>
      <c r="L18" s="73"/>
      <c r="M18" s="73"/>
    </row>
    <row r="19" spans="1:13" ht="1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3" ht="15">
      <c r="A20" s="84" t="s">
        <v>5</v>
      </c>
      <c r="B20" s="130">
        <v>1422</v>
      </c>
      <c r="C20" s="130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3" ht="15">
      <c r="A21" s="84" t="s">
        <v>6</v>
      </c>
      <c r="B21" s="130">
        <v>212312</v>
      </c>
      <c r="C21" s="130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3" ht="15">
      <c r="A22" s="84" t="s">
        <v>7</v>
      </c>
      <c r="B22" s="130" t="s">
        <v>84</v>
      </c>
      <c r="C22" s="130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3" ht="15">
      <c r="A23" s="85"/>
      <c r="B23" s="10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1:13" ht="15">
      <c r="A24" s="143" t="s">
        <v>85</v>
      </c>
      <c r="B24" s="143"/>
      <c r="C24" s="143"/>
      <c r="D24" s="104"/>
      <c r="E24" s="73"/>
      <c r="F24" s="73"/>
      <c r="G24" s="73"/>
      <c r="H24" s="73"/>
      <c r="I24" s="73"/>
      <c r="J24" s="73"/>
      <c r="K24" s="73" t="s">
        <v>86</v>
      </c>
      <c r="L24" s="73"/>
      <c r="M24" s="73"/>
    </row>
    <row r="25" spans="1:13" ht="1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 t="s">
        <v>87</v>
      </c>
      <c r="L25" s="73"/>
      <c r="M25" s="73"/>
    </row>
    <row r="26" spans="1:13" ht="15">
      <c r="A26" s="95" t="s">
        <v>88</v>
      </c>
      <c r="B26" s="104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</row>
    <row r="27" spans="1:13" ht="15">
      <c r="A27" s="73" t="s">
        <v>143</v>
      </c>
      <c r="B27" s="73"/>
      <c r="C27" s="96"/>
      <c r="D27" s="96" t="s">
        <v>146</v>
      </c>
      <c r="E27" s="96"/>
      <c r="F27" s="96"/>
      <c r="G27" s="96"/>
      <c r="H27" s="96"/>
      <c r="I27" s="96"/>
      <c r="J27" s="96"/>
      <c r="K27" s="73"/>
      <c r="L27" s="73"/>
      <c r="M27" s="73"/>
    </row>
    <row r="28" spans="1:13" ht="15">
      <c r="A28" s="133" t="s">
        <v>147</v>
      </c>
      <c r="B28" s="133"/>
      <c r="C28" s="97"/>
      <c r="D28" s="121" t="s">
        <v>145</v>
      </c>
      <c r="E28" s="98"/>
      <c r="F28" s="96"/>
      <c r="G28" s="96"/>
      <c r="H28" s="96"/>
      <c r="I28" s="96"/>
      <c r="J28" s="96"/>
      <c r="K28" s="73"/>
      <c r="L28" s="73"/>
      <c r="M28" s="73"/>
    </row>
    <row r="29" spans="1:13" ht="15">
      <c r="A29" s="134" t="s">
        <v>156</v>
      </c>
      <c r="B29" s="134"/>
      <c r="C29" s="105"/>
      <c r="D29" s="121" t="s">
        <v>144</v>
      </c>
      <c r="E29" s="99"/>
      <c r="F29" s="96"/>
      <c r="G29" s="96"/>
      <c r="H29" s="96"/>
      <c r="I29" s="96"/>
      <c r="J29" s="96"/>
      <c r="K29" s="73"/>
      <c r="L29" s="73"/>
      <c r="M29" s="73"/>
    </row>
    <row r="30" spans="1:10" ht="15">
      <c r="A30" s="131" t="s">
        <v>174</v>
      </c>
      <c r="B30" s="132"/>
      <c r="C30" s="111"/>
      <c r="D30" s="87"/>
      <c r="E30" s="88"/>
      <c r="F30" s="27"/>
      <c r="G30" s="27"/>
      <c r="H30" s="27"/>
      <c r="I30" s="27"/>
      <c r="J30" s="27"/>
    </row>
    <row r="31" spans="1:10" ht="15">
      <c r="A31" s="86"/>
      <c r="B31" s="87"/>
      <c r="C31" s="87"/>
      <c r="D31" s="87"/>
      <c r="E31" s="88"/>
      <c r="F31" s="27"/>
      <c r="G31" s="27"/>
      <c r="H31" s="27"/>
      <c r="I31" s="27"/>
      <c r="J31" s="27"/>
    </row>
    <row r="32" spans="1:10" ht="15">
      <c r="A32" s="86"/>
      <c r="B32" s="87"/>
      <c r="C32" s="87"/>
      <c r="D32" s="87"/>
      <c r="E32" s="88"/>
      <c r="F32" s="27"/>
      <c r="G32" s="27"/>
      <c r="H32" s="27"/>
      <c r="I32" s="27"/>
      <c r="J32" s="27"/>
    </row>
    <row r="33" spans="1:10" ht="15">
      <c r="A33" s="86"/>
      <c r="B33" s="87"/>
      <c r="C33" s="87"/>
      <c r="D33" s="87"/>
      <c r="E33" s="88"/>
      <c r="F33" s="27"/>
      <c r="G33" s="27"/>
      <c r="H33" s="27"/>
      <c r="I33" s="27"/>
      <c r="J33" s="27"/>
    </row>
    <row r="34" spans="1:10" ht="15">
      <c r="A34" s="27"/>
      <c r="B34" s="27"/>
      <c r="C34" s="27"/>
      <c r="D34" s="89"/>
      <c r="E34" s="89"/>
      <c r="F34" s="27"/>
      <c r="G34" s="27"/>
      <c r="H34" s="27"/>
      <c r="I34" s="27"/>
      <c r="J34" s="27"/>
    </row>
    <row r="35" spans="1:10" ht="15">
      <c r="A35" s="27"/>
      <c r="B35" s="27"/>
      <c r="C35" s="27"/>
      <c r="D35" s="27"/>
      <c r="E35" s="27"/>
      <c r="F35" s="27"/>
      <c r="G35" s="90"/>
      <c r="H35" s="27"/>
      <c r="I35" s="87"/>
      <c r="J35" s="27"/>
    </row>
  </sheetData>
  <sheetProtection password="C413" sheet="1"/>
  <mergeCells count="28">
    <mergeCell ref="B14:G14"/>
    <mergeCell ref="B6:G6"/>
    <mergeCell ref="A24:C24"/>
    <mergeCell ref="B16:C16"/>
    <mergeCell ref="B9:G9"/>
    <mergeCell ref="B10:C10"/>
    <mergeCell ref="E16:G16"/>
    <mergeCell ref="C18:D18"/>
    <mergeCell ref="F18:G18"/>
    <mergeCell ref="B22:C22"/>
    <mergeCell ref="I5:M6"/>
    <mergeCell ref="B13:G13"/>
    <mergeCell ref="B4:C4"/>
    <mergeCell ref="F4:G4"/>
    <mergeCell ref="D4:E4"/>
    <mergeCell ref="E11:G11"/>
    <mergeCell ref="B11:C11"/>
    <mergeCell ref="B5:E5"/>
    <mergeCell ref="B20:C20"/>
    <mergeCell ref="B21:C21"/>
    <mergeCell ref="A30:B30"/>
    <mergeCell ref="A28:B28"/>
    <mergeCell ref="A29:B29"/>
    <mergeCell ref="A1:B1"/>
    <mergeCell ref="B12:G12"/>
    <mergeCell ref="B8:C8"/>
    <mergeCell ref="B15:C15"/>
    <mergeCell ref="B7:G7"/>
  </mergeCells>
  <dataValidations count="4">
    <dataValidation type="list" allowBlank="1" showInputMessage="1" showErrorMessage="1" sqref="K15:K16">
      <formula1>Employ</formula1>
    </dataValidation>
    <dataValidation type="list" allowBlank="1" showInputMessage="1" showErrorMessage="1" sqref="B4:C4">
      <formula1>Submit</formula1>
    </dataValidation>
    <dataValidation type="list" allowBlank="1" showInputMessage="1" showErrorMessage="1" sqref="D24 K25">
      <formula1>yn</formula1>
    </dataValidation>
    <dataValidation type="list" allowBlank="1" showInputMessage="1" showErrorMessage="1" sqref="F4:G4">
      <formula1>NoEmploy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B1">
      <selection activeCell="B1" sqref="B1:C1"/>
    </sheetView>
  </sheetViews>
  <sheetFormatPr defaultColWidth="9.140625" defaultRowHeight="15"/>
  <cols>
    <col min="1" max="1" width="6.28125" style="22" hidden="1" customWidth="1"/>
    <col min="2" max="2" width="9.00390625" style="22" customWidth="1"/>
    <col min="3" max="3" width="31.57421875" style="22" customWidth="1"/>
    <col min="4" max="4" width="13.140625" style="22" customWidth="1"/>
    <col min="5" max="5" width="11.8515625" style="22" customWidth="1"/>
    <col min="6" max="6" width="13.28125" style="22" customWidth="1"/>
    <col min="7" max="7" width="32.8515625" style="23" customWidth="1"/>
    <col min="8" max="8" width="19.140625" style="22" customWidth="1"/>
    <col min="9" max="9" width="13.140625" style="22" customWidth="1"/>
    <col min="10" max="10" width="15.57421875" style="22" customWidth="1"/>
    <col min="11" max="11" width="18.8515625" style="22" customWidth="1"/>
    <col min="12" max="16384" width="9.140625" style="22" customWidth="1"/>
  </cols>
  <sheetData>
    <row r="1" spans="2:3" ht="18.75">
      <c r="B1" s="164" t="s">
        <v>167</v>
      </c>
      <c r="C1" s="164"/>
    </row>
    <row r="2" spans="2:7" s="29" customFormat="1" ht="15">
      <c r="B2" s="165" t="s">
        <v>81</v>
      </c>
      <c r="C2" s="165"/>
      <c r="D2" s="165"/>
      <c r="E2" s="32"/>
      <c r="F2" s="32"/>
      <c r="G2" s="30"/>
    </row>
    <row r="3" spans="2:10" s="29" customFormat="1" ht="15" customHeight="1">
      <c r="B3" s="32"/>
      <c r="C3" s="172" t="s">
        <v>106</v>
      </c>
      <c r="D3" s="172"/>
      <c r="E3" s="172"/>
      <c r="F3" s="172"/>
      <c r="G3" s="172"/>
      <c r="H3" s="172"/>
      <c r="I3" s="172"/>
      <c r="J3" s="172"/>
    </row>
    <row r="4" ht="15.75">
      <c r="B4" s="24" t="s">
        <v>89</v>
      </c>
    </row>
    <row r="5" spans="2:8" ht="15" customHeight="1">
      <c r="B5" s="158" t="s">
        <v>9</v>
      </c>
      <c r="C5" s="160" t="s">
        <v>54</v>
      </c>
      <c r="D5" s="160" t="s">
        <v>98</v>
      </c>
      <c r="E5" s="160" t="s">
        <v>99</v>
      </c>
      <c r="F5" s="160" t="s">
        <v>100</v>
      </c>
      <c r="G5" s="160" t="s">
        <v>53</v>
      </c>
      <c r="H5" s="160" t="str">
        <f>'Facility Information'!G5&amp;" Annual Throughput (tons/yr)"</f>
        <v> Annual Throughput (tons/yr)</v>
      </c>
    </row>
    <row r="6" spans="2:8" ht="15">
      <c r="B6" s="159"/>
      <c r="C6" s="161"/>
      <c r="D6" s="161"/>
      <c r="E6" s="161"/>
      <c r="F6" s="161"/>
      <c r="G6" s="161"/>
      <c r="H6" s="161"/>
    </row>
    <row r="7" spans="1:11" ht="15">
      <c r="A7" s="9" t="s">
        <v>92</v>
      </c>
      <c r="B7" s="25"/>
      <c r="C7" s="21"/>
      <c r="D7" s="21"/>
      <c r="E7" s="21"/>
      <c r="F7" s="21"/>
      <c r="G7" s="25"/>
      <c r="H7" s="26"/>
      <c r="I7" s="166">
        <f aca="true" t="shared" si="0" ref="I7:I14">IF(C7="","",IF(C7="Conveyor Transfer Points","Number of Conveyor Points:",""))</f>
      </c>
      <c r="J7" s="167"/>
      <c r="K7" s="91"/>
    </row>
    <row r="8" spans="1:11" ht="15">
      <c r="A8" s="9" t="s">
        <v>90</v>
      </c>
      <c r="B8" s="25"/>
      <c r="C8" s="21"/>
      <c r="D8" s="21"/>
      <c r="E8" s="21"/>
      <c r="F8" s="21"/>
      <c r="G8" s="25"/>
      <c r="H8" s="26"/>
      <c r="I8" s="166">
        <f t="shared" si="0"/>
      </c>
      <c r="J8" s="167"/>
      <c r="K8" s="91"/>
    </row>
    <row r="9" spans="1:11" ht="15">
      <c r="A9" s="9" t="s">
        <v>91</v>
      </c>
      <c r="B9" s="25"/>
      <c r="C9" s="21"/>
      <c r="D9" s="21"/>
      <c r="E9" s="21"/>
      <c r="F9" s="21"/>
      <c r="G9" s="25"/>
      <c r="H9" s="26"/>
      <c r="I9" s="166">
        <f t="shared" si="0"/>
      </c>
      <c r="J9" s="167"/>
      <c r="K9" s="91"/>
    </row>
    <row r="10" spans="1:11" ht="15">
      <c r="A10" s="9" t="s">
        <v>93</v>
      </c>
      <c r="B10" s="25"/>
      <c r="C10" s="21"/>
      <c r="D10" s="21"/>
      <c r="E10" s="21"/>
      <c r="F10" s="21"/>
      <c r="G10" s="25"/>
      <c r="H10" s="26"/>
      <c r="I10" s="166">
        <f t="shared" si="0"/>
      </c>
      <c r="J10" s="167"/>
      <c r="K10" s="91"/>
    </row>
    <row r="11" spans="1:11" ht="15">
      <c r="A11" s="9" t="s">
        <v>94</v>
      </c>
      <c r="B11" s="25"/>
      <c r="C11" s="21"/>
      <c r="D11" s="21"/>
      <c r="E11" s="21"/>
      <c r="F11" s="21"/>
      <c r="G11" s="25"/>
      <c r="H11" s="26"/>
      <c r="I11" s="166">
        <f t="shared" si="0"/>
      </c>
      <c r="J11" s="167"/>
      <c r="K11" s="91"/>
    </row>
    <row r="12" spans="1:11" ht="15">
      <c r="A12" s="9" t="s">
        <v>95</v>
      </c>
      <c r="B12" s="25"/>
      <c r="C12" s="21"/>
      <c r="D12" s="21"/>
      <c r="E12" s="21"/>
      <c r="F12" s="21"/>
      <c r="G12" s="25"/>
      <c r="H12" s="26"/>
      <c r="I12" s="166">
        <f t="shared" si="0"/>
      </c>
      <c r="J12" s="167"/>
      <c r="K12" s="91"/>
    </row>
    <row r="13" spans="1:11" ht="15">
      <c r="A13" s="9" t="s">
        <v>96</v>
      </c>
      <c r="B13" s="25"/>
      <c r="C13" s="21"/>
      <c r="D13" s="21"/>
      <c r="E13" s="21"/>
      <c r="F13" s="21"/>
      <c r="G13" s="25"/>
      <c r="H13" s="26"/>
      <c r="I13" s="166">
        <f t="shared" si="0"/>
      </c>
      <c r="J13" s="167"/>
      <c r="K13" s="91"/>
    </row>
    <row r="14" spans="1:11" ht="15">
      <c r="A14" s="9" t="s">
        <v>97</v>
      </c>
      <c r="B14" s="25"/>
      <c r="C14" s="21"/>
      <c r="D14" s="21"/>
      <c r="E14" s="21"/>
      <c r="F14" s="21"/>
      <c r="G14" s="25"/>
      <c r="H14" s="26"/>
      <c r="I14" s="166">
        <f t="shared" si="0"/>
      </c>
      <c r="J14" s="167"/>
      <c r="K14" s="92"/>
    </row>
    <row r="15" ht="15">
      <c r="A15" s="9"/>
    </row>
    <row r="16" spans="1:2" ht="15.75">
      <c r="A16" s="9"/>
      <c r="B16" s="24" t="s">
        <v>101</v>
      </c>
    </row>
    <row r="17" spans="1:10" ht="15" customHeight="1">
      <c r="A17" s="9"/>
      <c r="B17" s="158" t="s">
        <v>9</v>
      </c>
      <c r="C17" s="160" t="s">
        <v>54</v>
      </c>
      <c r="D17" s="160" t="s">
        <v>98</v>
      </c>
      <c r="E17" s="160" t="s">
        <v>99</v>
      </c>
      <c r="F17" s="160" t="s">
        <v>100</v>
      </c>
      <c r="G17" s="160" t="s">
        <v>103</v>
      </c>
      <c r="H17" s="160" t="s">
        <v>104</v>
      </c>
      <c r="I17" s="168" t="s">
        <v>105</v>
      </c>
      <c r="J17" s="169"/>
    </row>
    <row r="18" spans="1:10" ht="15">
      <c r="A18" s="9"/>
      <c r="B18" s="159"/>
      <c r="C18" s="161"/>
      <c r="D18" s="161"/>
      <c r="E18" s="161"/>
      <c r="F18" s="161"/>
      <c r="G18" s="161"/>
      <c r="H18" s="161"/>
      <c r="I18" s="170"/>
      <c r="J18" s="171"/>
    </row>
    <row r="19" spans="1:10" ht="15">
      <c r="A19" s="9"/>
      <c r="B19" s="25"/>
      <c r="C19" s="107" t="s">
        <v>102</v>
      </c>
      <c r="D19" s="21"/>
      <c r="E19" s="21"/>
      <c r="F19" s="21"/>
      <c r="G19" s="25"/>
      <c r="H19" s="120"/>
      <c r="I19" s="173"/>
      <c r="J19" s="174"/>
    </row>
    <row r="20" ht="15">
      <c r="A20" s="9"/>
    </row>
    <row r="21" spans="1:2" ht="15.75">
      <c r="A21" s="28"/>
      <c r="B21" s="24" t="s">
        <v>136</v>
      </c>
    </row>
    <row r="22" spans="2:11" ht="15" customHeight="1">
      <c r="B22" s="158" t="s">
        <v>9</v>
      </c>
      <c r="C22" s="160" t="s">
        <v>54</v>
      </c>
      <c r="D22" s="160" t="s">
        <v>98</v>
      </c>
      <c r="E22" s="160" t="s">
        <v>99</v>
      </c>
      <c r="F22" s="160" t="s">
        <v>100</v>
      </c>
      <c r="G22" s="162" t="s">
        <v>58</v>
      </c>
      <c r="H22" s="163"/>
      <c r="I22" s="155" t="s">
        <v>61</v>
      </c>
      <c r="J22" s="156"/>
      <c r="K22" s="157" t="s">
        <v>77</v>
      </c>
    </row>
    <row r="23" spans="2:11" ht="15">
      <c r="B23" s="159"/>
      <c r="C23" s="161"/>
      <c r="D23" s="161"/>
      <c r="E23" s="161"/>
      <c r="F23" s="161"/>
      <c r="G23" s="123" t="s">
        <v>59</v>
      </c>
      <c r="H23" s="123" t="s">
        <v>60</v>
      </c>
      <c r="I23" s="124" t="s">
        <v>62</v>
      </c>
      <c r="J23" s="124" t="s">
        <v>63</v>
      </c>
      <c r="K23" s="157"/>
    </row>
    <row r="24" spans="2:11" ht="15">
      <c r="B24" s="25"/>
      <c r="C24" s="107" t="s">
        <v>57</v>
      </c>
      <c r="D24" s="21"/>
      <c r="E24" s="21"/>
      <c r="F24" s="21"/>
      <c r="G24" s="25"/>
      <c r="H24" s="66"/>
      <c r="I24" s="93"/>
      <c r="J24" s="93"/>
      <c r="K24" s="25"/>
    </row>
    <row r="25" ht="15"/>
    <row r="26" spans="2:9" ht="15" customHeight="1">
      <c r="B26" s="150" t="s">
        <v>64</v>
      </c>
      <c r="C26" s="145"/>
      <c r="D26" s="41"/>
      <c r="E26" s="146" t="s">
        <v>65</v>
      </c>
      <c r="F26" s="147"/>
      <c r="G26" s="147"/>
      <c r="H26" s="147"/>
      <c r="I26" s="31"/>
    </row>
    <row r="27" spans="2:9" ht="15" customHeight="1">
      <c r="B27" s="150" t="s">
        <v>66</v>
      </c>
      <c r="C27" s="145"/>
      <c r="D27" s="35">
        <f>IF(G24="","",G24*D26+H24*(1-D26))</f>
      </c>
      <c r="E27" s="151" t="s">
        <v>67</v>
      </c>
      <c r="F27" s="151"/>
      <c r="G27" s="151"/>
      <c r="H27" s="31"/>
      <c r="I27" s="31"/>
    </row>
    <row r="28" spans="2:9" ht="15" customHeight="1">
      <c r="B28" s="150" t="s">
        <v>68</v>
      </c>
      <c r="C28" s="145"/>
      <c r="D28" s="36">
        <f>IF(G24="","",H24-G24)</f>
      </c>
      <c r="E28" s="151" t="s">
        <v>69</v>
      </c>
      <c r="F28" s="151"/>
      <c r="G28" s="151"/>
      <c r="H28" s="31"/>
      <c r="I28" s="31"/>
    </row>
    <row r="29" spans="2:9" ht="15">
      <c r="B29" s="152" t="s">
        <v>70</v>
      </c>
      <c r="C29" s="153"/>
      <c r="D29" s="37">
        <f>IF(G24="","",I24/D28)</f>
      </c>
      <c r="E29" s="154" t="s">
        <v>71</v>
      </c>
      <c r="F29" s="154"/>
      <c r="G29" s="154"/>
      <c r="H29" s="33"/>
      <c r="I29" s="33"/>
    </row>
    <row r="30" spans="2:9" ht="15">
      <c r="B30" s="152" t="s">
        <v>72</v>
      </c>
      <c r="C30" s="153"/>
      <c r="D30" s="37">
        <f>IF(G24="","",J24/D28)</f>
      </c>
      <c r="E30" s="154" t="s">
        <v>73</v>
      </c>
      <c r="F30" s="154"/>
      <c r="G30" s="154"/>
      <c r="H30" s="33"/>
      <c r="I30" s="33"/>
    </row>
    <row r="31" spans="2:10" ht="15" customHeight="1">
      <c r="B31" s="144" t="s">
        <v>185</v>
      </c>
      <c r="C31" s="145"/>
      <c r="D31" s="38">
        <v>8.3</v>
      </c>
      <c r="E31" s="146" t="s">
        <v>186</v>
      </c>
      <c r="F31" s="147"/>
      <c r="G31" s="147"/>
      <c r="H31" s="147"/>
      <c r="I31" s="40"/>
      <c r="J31" s="40"/>
    </row>
    <row r="32" spans="2:9" ht="15">
      <c r="B32" s="148" t="s">
        <v>82</v>
      </c>
      <c r="C32" s="148"/>
      <c r="D32" s="39">
        <v>100</v>
      </c>
      <c r="E32" s="149" t="s">
        <v>180</v>
      </c>
      <c r="F32" s="149"/>
      <c r="G32" s="149"/>
      <c r="H32" s="34"/>
      <c r="I32" s="34"/>
    </row>
    <row r="33" spans="1:9" ht="15">
      <c r="A33" s="22" t="s">
        <v>149</v>
      </c>
      <c r="B33" s="56"/>
      <c r="C33" s="56" t="s">
        <v>148</v>
      </c>
      <c r="D33" s="39"/>
      <c r="E33" s="55" t="s">
        <v>155</v>
      </c>
      <c r="F33" s="55"/>
      <c r="G33" s="55"/>
      <c r="H33" s="34"/>
      <c r="I33" s="34"/>
    </row>
    <row r="34" ht="15">
      <c r="A34" s="22" t="s">
        <v>87</v>
      </c>
    </row>
    <row r="35" ht="15.75">
      <c r="B35" s="24" t="s">
        <v>177</v>
      </c>
    </row>
    <row r="36" spans="2:11" ht="15">
      <c r="B36" s="158" t="s">
        <v>9</v>
      </c>
      <c r="C36" s="160" t="s">
        <v>54</v>
      </c>
      <c r="D36" s="160" t="s">
        <v>98</v>
      </c>
      <c r="E36" s="160" t="s">
        <v>99</v>
      </c>
      <c r="F36" s="160" t="s">
        <v>100</v>
      </c>
      <c r="G36" s="162" t="s">
        <v>58</v>
      </c>
      <c r="H36" s="163"/>
      <c r="I36" s="155" t="s">
        <v>61</v>
      </c>
      <c r="J36" s="156"/>
      <c r="K36" s="157" t="s">
        <v>77</v>
      </c>
    </row>
    <row r="37" spans="2:11" ht="15">
      <c r="B37" s="159"/>
      <c r="C37" s="161"/>
      <c r="D37" s="161"/>
      <c r="E37" s="161"/>
      <c r="F37" s="161"/>
      <c r="G37" s="123" t="s">
        <v>59</v>
      </c>
      <c r="H37" s="123" t="s">
        <v>60</v>
      </c>
      <c r="I37" s="124" t="s">
        <v>62</v>
      </c>
      <c r="J37" s="124" t="s">
        <v>63</v>
      </c>
      <c r="K37" s="157"/>
    </row>
    <row r="38" spans="2:11" ht="15">
      <c r="B38" s="25"/>
      <c r="C38" s="107" t="s">
        <v>178</v>
      </c>
      <c r="D38" s="21"/>
      <c r="E38" s="21"/>
      <c r="F38" s="21"/>
      <c r="G38" s="25"/>
      <c r="H38" s="66"/>
      <c r="I38" s="93"/>
      <c r="J38" s="93"/>
      <c r="K38" s="25"/>
    </row>
    <row r="39" ht="15"/>
    <row r="40" spans="2:9" ht="15">
      <c r="B40" s="150" t="s">
        <v>64</v>
      </c>
      <c r="C40" s="145"/>
      <c r="D40" s="41"/>
      <c r="E40" s="146" t="s">
        <v>65</v>
      </c>
      <c r="F40" s="147"/>
      <c r="G40" s="147"/>
      <c r="H40" s="147"/>
      <c r="I40" s="31"/>
    </row>
    <row r="41" spans="2:9" ht="15">
      <c r="B41" s="150" t="s">
        <v>66</v>
      </c>
      <c r="C41" s="145"/>
      <c r="D41" s="35">
        <f>IF(G38="","",G38*D40+H38*(1-D40))</f>
      </c>
      <c r="E41" s="151" t="s">
        <v>67</v>
      </c>
      <c r="F41" s="151"/>
      <c r="G41" s="151"/>
      <c r="H41" s="31"/>
      <c r="I41" s="31"/>
    </row>
    <row r="42" spans="2:9" ht="15">
      <c r="B42" s="150" t="s">
        <v>68</v>
      </c>
      <c r="C42" s="145"/>
      <c r="D42" s="36">
        <f>IF(G38="","",H38-G38)</f>
      </c>
      <c r="E42" s="151" t="s">
        <v>69</v>
      </c>
      <c r="F42" s="151"/>
      <c r="G42" s="151"/>
      <c r="H42" s="31"/>
      <c r="I42" s="31"/>
    </row>
    <row r="43" spans="2:9" ht="15">
      <c r="B43" s="152" t="s">
        <v>70</v>
      </c>
      <c r="C43" s="153"/>
      <c r="D43" s="37">
        <f>IF(G38="","",I38/D42)</f>
      </c>
      <c r="E43" s="154" t="s">
        <v>71</v>
      </c>
      <c r="F43" s="154"/>
      <c r="G43" s="154"/>
      <c r="H43" s="33"/>
      <c r="I43" s="33"/>
    </row>
    <row r="44" spans="2:9" ht="15">
      <c r="B44" s="152" t="s">
        <v>72</v>
      </c>
      <c r="C44" s="153"/>
      <c r="D44" s="37">
        <f>IF(G38="","",J38/D42)</f>
      </c>
      <c r="E44" s="154" t="s">
        <v>73</v>
      </c>
      <c r="F44" s="154"/>
      <c r="G44" s="154"/>
      <c r="H44" s="33"/>
      <c r="I44" s="33"/>
    </row>
    <row r="45" spans="2:10" ht="15">
      <c r="B45" s="144" t="s">
        <v>74</v>
      </c>
      <c r="C45" s="145"/>
      <c r="D45" s="38">
        <v>8.2</v>
      </c>
      <c r="E45" s="146" t="s">
        <v>179</v>
      </c>
      <c r="F45" s="147"/>
      <c r="G45" s="147"/>
      <c r="H45" s="147"/>
      <c r="I45" s="40"/>
      <c r="J45" s="40"/>
    </row>
    <row r="46" spans="2:9" ht="15" customHeight="1">
      <c r="B46" s="148" t="s">
        <v>82</v>
      </c>
      <c r="C46" s="148"/>
      <c r="D46" s="39">
        <v>100</v>
      </c>
      <c r="E46" s="149" t="s">
        <v>180</v>
      </c>
      <c r="F46" s="149"/>
      <c r="G46" s="149"/>
      <c r="H46" s="34"/>
      <c r="I46" s="34"/>
    </row>
    <row r="47" ht="15">
      <c r="A47" s="9" t="s">
        <v>115</v>
      </c>
    </row>
    <row r="48" ht="15">
      <c r="A48" s="9" t="s">
        <v>116</v>
      </c>
    </row>
  </sheetData>
  <sheetProtection password="C413" sheet="1"/>
  <mergeCells count="71">
    <mergeCell ref="I7:J7"/>
    <mergeCell ref="B5:B6"/>
    <mergeCell ref="C5:C6"/>
    <mergeCell ref="K22:K23"/>
    <mergeCell ref="E27:G27"/>
    <mergeCell ref="I22:J22"/>
    <mergeCell ref="D22:D23"/>
    <mergeCell ref="H5:H6"/>
    <mergeCell ref="I19:J19"/>
    <mergeCell ref="I8:J8"/>
    <mergeCell ref="E29:G29"/>
    <mergeCell ref="E30:G30"/>
    <mergeCell ref="H17:H18"/>
    <mergeCell ref="G17:G18"/>
    <mergeCell ref="F17:F18"/>
    <mergeCell ref="E17:E18"/>
    <mergeCell ref="G22:H22"/>
    <mergeCell ref="E26:H26"/>
    <mergeCell ref="C3:J3"/>
    <mergeCell ref="C17:C18"/>
    <mergeCell ref="B30:C30"/>
    <mergeCell ref="B32:C32"/>
    <mergeCell ref="B31:C31"/>
    <mergeCell ref="B28:C28"/>
    <mergeCell ref="B22:B23"/>
    <mergeCell ref="C22:C23"/>
    <mergeCell ref="B29:C29"/>
    <mergeCell ref="E28:G28"/>
    <mergeCell ref="B27:C27"/>
    <mergeCell ref="D17:D18"/>
    <mergeCell ref="D5:D6"/>
    <mergeCell ref="G5:G6"/>
    <mergeCell ref="E5:E6"/>
    <mergeCell ref="F5:F6"/>
    <mergeCell ref="I14:J14"/>
    <mergeCell ref="I17:J18"/>
    <mergeCell ref="I9:J9"/>
    <mergeCell ref="I10:J10"/>
    <mergeCell ref="I11:J11"/>
    <mergeCell ref="I12:J12"/>
    <mergeCell ref="I13:J13"/>
    <mergeCell ref="F36:F37"/>
    <mergeCell ref="G36:H36"/>
    <mergeCell ref="B1:C1"/>
    <mergeCell ref="B17:B18"/>
    <mergeCell ref="E22:E23"/>
    <mergeCell ref="F22:F23"/>
    <mergeCell ref="E32:G32"/>
    <mergeCell ref="E31:H31"/>
    <mergeCell ref="B2:D2"/>
    <mergeCell ref="B26:C26"/>
    <mergeCell ref="I36:J36"/>
    <mergeCell ref="K36:K37"/>
    <mergeCell ref="B40:C40"/>
    <mergeCell ref="E40:H40"/>
    <mergeCell ref="B41:C41"/>
    <mergeCell ref="E41:G41"/>
    <mergeCell ref="B36:B37"/>
    <mergeCell ref="C36:C37"/>
    <mergeCell ref="D36:D37"/>
    <mergeCell ref="E36:E37"/>
    <mergeCell ref="B45:C45"/>
    <mergeCell ref="E45:H45"/>
    <mergeCell ref="B46:C46"/>
    <mergeCell ref="E46:G46"/>
    <mergeCell ref="B42:C42"/>
    <mergeCell ref="E42:G42"/>
    <mergeCell ref="B43:C43"/>
    <mergeCell ref="E43:G43"/>
    <mergeCell ref="B44:C44"/>
    <mergeCell ref="E44:G44"/>
  </mergeCells>
  <conditionalFormatting sqref="J15">
    <cfRule type="expression" priority="65" dxfId="19" stopIfTrue="1">
      <formula>'Facility Processes'!#REF!="Natural Gas Usage (MMCF/yr)"</formula>
    </cfRule>
  </conditionalFormatting>
  <conditionalFormatting sqref="J16">
    <cfRule type="expression" priority="66" dxfId="19" stopIfTrue="1">
      <formula>'Facility Processes'!#REF!="Natural Gas Usage (MMCF/yr)"</formula>
    </cfRule>
  </conditionalFormatting>
  <conditionalFormatting sqref="I7:J14">
    <cfRule type="containsText" priority="19" dxfId="19" operator="containsText" stopIfTrue="1" text="Number of Conveyor Points">
      <formula>NOT(ISERROR(SEARCH("Number of Conveyor Points",I7)))</formula>
    </cfRule>
  </conditionalFormatting>
  <conditionalFormatting sqref="K10">
    <cfRule type="cellIs" priority="5" dxfId="19" operator="equal" stopIfTrue="1">
      <formula>$I$10=""</formula>
    </cfRule>
    <cfRule type="notContainsBlanks" priority="15" dxfId="19" stopIfTrue="1">
      <formula>LEN(TRIM(K10))&gt;0</formula>
    </cfRule>
  </conditionalFormatting>
  <conditionalFormatting sqref="K7">
    <cfRule type="cellIs" priority="17" dxfId="19" operator="equal" stopIfTrue="1">
      <formula>$I$7=""</formula>
    </cfRule>
    <cfRule type="notContainsBlanks" priority="69" dxfId="19" stopIfTrue="1">
      <formula>LEN(TRIM(K7))&gt;0</formula>
    </cfRule>
  </conditionalFormatting>
  <conditionalFormatting sqref="K8">
    <cfRule type="cellIs" priority="13" dxfId="19" operator="equal" stopIfTrue="1">
      <formula>$I$8=""</formula>
    </cfRule>
    <cfRule type="notContainsBlanks" priority="68" dxfId="19" stopIfTrue="1">
      <formula>LEN(TRIM(K8))&gt;0</formula>
    </cfRule>
  </conditionalFormatting>
  <conditionalFormatting sqref="K9">
    <cfRule type="cellIs" priority="6" dxfId="19" operator="equal" stopIfTrue="1">
      <formula>$I$9=""</formula>
    </cfRule>
    <cfRule type="notContainsBlanks" priority="12" dxfId="19" stopIfTrue="1">
      <formula>LEN(TRIM(K9))&gt;0</formula>
    </cfRule>
  </conditionalFormatting>
  <conditionalFormatting sqref="K11">
    <cfRule type="cellIs" priority="4" dxfId="19" operator="equal" stopIfTrue="1">
      <formula>$I$11=""</formula>
    </cfRule>
    <cfRule type="notContainsBlanks" priority="11" dxfId="19" stopIfTrue="1">
      <formula>LEN(TRIM(K11))&gt;0</formula>
    </cfRule>
  </conditionalFormatting>
  <conditionalFormatting sqref="K12">
    <cfRule type="cellIs" priority="3" dxfId="19" operator="equal" stopIfTrue="1">
      <formula>$I$12=""</formula>
    </cfRule>
    <cfRule type="notContainsBlanks" priority="10" dxfId="19" stopIfTrue="1">
      <formula>LEN(TRIM(K12))&gt;0</formula>
    </cfRule>
  </conditionalFormatting>
  <conditionalFormatting sqref="K13">
    <cfRule type="cellIs" priority="2" dxfId="19" operator="equal" stopIfTrue="1">
      <formula>$I$13=""</formula>
    </cfRule>
    <cfRule type="notContainsBlanks" priority="9" dxfId="19" stopIfTrue="1">
      <formula>LEN(TRIM(K13))&gt;0</formula>
    </cfRule>
  </conditionalFormatting>
  <conditionalFormatting sqref="K14">
    <cfRule type="cellIs" priority="1" dxfId="19" operator="equal" stopIfTrue="1">
      <formula>$I$14=""</formula>
    </cfRule>
    <cfRule type="notContainsBlanks" priority="8" dxfId="19" stopIfTrue="1">
      <formula>LEN(TRIM(K14))&gt;0</formula>
    </cfRule>
  </conditionalFormatting>
  <dataValidations count="3">
    <dataValidation type="list" allowBlank="1" showInputMessage="1" showErrorMessage="1" sqref="A21">
      <formula1>"roadcon"</formula1>
    </dataValidation>
    <dataValidation type="list" allowBlank="1" showInputMessage="1" showErrorMessage="1" sqref="C7:C14">
      <formula1>Crushing</formula1>
    </dataValidation>
    <dataValidation type="list" allowBlank="1" showInputMessage="1" showErrorMessage="1" sqref="D33">
      <formula1>YesNO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8.421875" style="9" customWidth="1"/>
    <col min="2" max="2" width="8.28125" style="9" customWidth="1"/>
    <col min="3" max="3" width="27.28125" style="9" customWidth="1"/>
    <col min="4" max="4" width="10.8515625" style="9" customWidth="1"/>
    <col min="5" max="5" width="13.140625" style="9" customWidth="1"/>
    <col min="6" max="6" width="9.140625" style="9" customWidth="1"/>
    <col min="7" max="7" width="13.57421875" style="9" customWidth="1"/>
    <col min="8" max="8" width="13.7109375" style="9" customWidth="1"/>
    <col min="9" max="9" width="12.421875" style="9" customWidth="1"/>
    <col min="10" max="10" width="11.57421875" style="9" customWidth="1"/>
    <col min="11" max="11" width="14.57421875" style="9" customWidth="1"/>
    <col min="12" max="12" width="16.8515625" style="9" customWidth="1"/>
    <col min="13" max="13" width="16.421875" style="9" customWidth="1"/>
    <col min="14" max="14" width="13.28125" style="9" hidden="1" customWidth="1"/>
    <col min="15" max="15" width="16.421875" style="9" hidden="1" customWidth="1"/>
    <col min="16" max="16384" width="9.140625" style="9" customWidth="1"/>
  </cols>
  <sheetData>
    <row r="1" spans="1:12" ht="18.75">
      <c r="A1" s="175" t="s">
        <v>113</v>
      </c>
      <c r="B1" s="175"/>
      <c r="C1" s="175"/>
      <c r="D1" s="22"/>
      <c r="E1" s="22"/>
      <c r="F1" s="22"/>
      <c r="G1" s="23"/>
      <c r="H1" s="22"/>
      <c r="I1" s="22"/>
      <c r="J1" s="22"/>
      <c r="K1" s="22"/>
      <c r="L1" s="22"/>
    </row>
    <row r="2" spans="1:12" ht="15.75">
      <c r="A2" s="24"/>
      <c r="B2" s="24"/>
      <c r="C2" s="59" t="s">
        <v>134</v>
      </c>
      <c r="D2" s="58"/>
      <c r="E2" s="58"/>
      <c r="F2" s="60"/>
      <c r="G2" s="58"/>
      <c r="H2" s="58"/>
      <c r="I2" s="22"/>
      <c r="J2" s="22"/>
      <c r="K2" s="22"/>
      <c r="L2" s="22"/>
    </row>
    <row r="3" spans="1:12" ht="15.75">
      <c r="A3" s="24"/>
      <c r="B3" s="24"/>
      <c r="C3" s="115" t="s">
        <v>150</v>
      </c>
      <c r="D3" s="119"/>
      <c r="E3" s="118" t="s">
        <v>135</v>
      </c>
      <c r="F3" s="58"/>
      <c r="G3" s="58"/>
      <c r="H3" s="58"/>
      <c r="I3" s="22"/>
      <c r="J3" s="22"/>
      <c r="K3" s="22"/>
      <c r="L3" s="22"/>
    </row>
    <row r="4" spans="1:12" ht="15.75">
      <c r="A4" s="24"/>
      <c r="B4" s="24"/>
      <c r="C4" s="115" t="s">
        <v>162</v>
      </c>
      <c r="D4" s="62"/>
      <c r="E4" s="118" t="s">
        <v>131</v>
      </c>
      <c r="F4" s="61" t="s">
        <v>151</v>
      </c>
      <c r="G4" s="58"/>
      <c r="H4" s="58"/>
      <c r="I4" s="22"/>
      <c r="J4" s="22"/>
      <c r="K4" s="22"/>
      <c r="L4" s="22"/>
    </row>
    <row r="5" spans="1:12" ht="15.75">
      <c r="A5" s="24"/>
      <c r="B5" s="24"/>
      <c r="C5" s="115" t="s">
        <v>176</v>
      </c>
      <c r="D5" s="62"/>
      <c r="E5" s="118" t="s">
        <v>131</v>
      </c>
      <c r="F5" s="61"/>
      <c r="G5" s="58"/>
      <c r="H5" s="58"/>
      <c r="I5" s="22"/>
      <c r="J5" s="22"/>
      <c r="K5" s="22"/>
      <c r="L5" s="22"/>
    </row>
    <row r="6" spans="1:12" ht="15.75">
      <c r="A6" s="24"/>
      <c r="B6" s="24"/>
      <c r="C6" s="58"/>
      <c r="D6" s="58"/>
      <c r="E6" s="58"/>
      <c r="F6" s="58"/>
      <c r="G6" s="58"/>
      <c r="H6" s="58"/>
      <c r="I6" s="22"/>
      <c r="J6" s="22"/>
      <c r="K6" s="22"/>
      <c r="L6" s="22"/>
    </row>
    <row r="7" spans="1:13" ht="15" customHeight="1">
      <c r="A7" s="178" t="s">
        <v>9</v>
      </c>
      <c r="B7" s="176" t="s">
        <v>133</v>
      </c>
      <c r="C7" s="176" t="s">
        <v>54</v>
      </c>
      <c r="D7" s="176" t="s">
        <v>132</v>
      </c>
      <c r="E7" s="180" t="s">
        <v>172</v>
      </c>
      <c r="F7" s="176" t="s">
        <v>127</v>
      </c>
      <c r="G7" s="176" t="s">
        <v>128</v>
      </c>
      <c r="H7" s="176" t="s">
        <v>129</v>
      </c>
      <c r="I7" s="176" t="s">
        <v>130</v>
      </c>
      <c r="J7" s="176" t="s">
        <v>175</v>
      </c>
      <c r="K7" s="176" t="s">
        <v>152</v>
      </c>
      <c r="L7" s="176" t="str">
        <f>'Facility Information'!A65&amp;" Annual Throughput (gallons/yr)"</f>
        <v> Annual Throughput (gallons/yr)</v>
      </c>
      <c r="M7" s="176" t="s">
        <v>171</v>
      </c>
    </row>
    <row r="8" spans="1:14" ht="15">
      <c r="A8" s="179"/>
      <c r="B8" s="177"/>
      <c r="C8" s="177"/>
      <c r="D8" s="177"/>
      <c r="E8" s="180"/>
      <c r="F8" s="177"/>
      <c r="G8" s="177"/>
      <c r="H8" s="177"/>
      <c r="I8" s="177"/>
      <c r="J8" s="177"/>
      <c r="K8" s="177"/>
      <c r="L8" s="177"/>
      <c r="M8" s="177"/>
      <c r="N8" s="9" t="s">
        <v>158</v>
      </c>
    </row>
    <row r="9" spans="1:14" ht="15">
      <c r="A9" s="112"/>
      <c r="B9" s="112"/>
      <c r="C9" s="113"/>
      <c r="D9" s="112"/>
      <c r="E9" s="129"/>
      <c r="F9" s="114"/>
      <c r="G9" s="114"/>
      <c r="H9" s="114"/>
      <c r="I9" s="114"/>
      <c r="J9" s="114"/>
      <c r="K9" s="117">
        <f>IF(J9="","",J9*0.14)</f>
      </c>
      <c r="L9" s="114"/>
      <c r="M9" s="116">
        <f>IF(L9="","",L9*0.14)</f>
      </c>
      <c r="N9" s="9" t="s">
        <v>157</v>
      </c>
    </row>
    <row r="10" spans="1:13" ht="15">
      <c r="A10" s="112"/>
      <c r="B10" s="112"/>
      <c r="C10" s="113"/>
      <c r="D10" s="112"/>
      <c r="E10" s="129"/>
      <c r="F10" s="114"/>
      <c r="G10" s="114"/>
      <c r="H10" s="114"/>
      <c r="I10" s="114"/>
      <c r="J10" s="114"/>
      <c r="K10" s="117">
        <f>IF(J10="","",J10*0.14)</f>
      </c>
      <c r="L10" s="114"/>
      <c r="M10" s="116">
        <f>IF(L10="","",L10*0.14)</f>
      </c>
    </row>
    <row r="11" spans="1:15" ht="15">
      <c r="A11" s="112"/>
      <c r="B11" s="112"/>
      <c r="C11" s="113"/>
      <c r="D11" s="112"/>
      <c r="E11" s="129"/>
      <c r="F11" s="114"/>
      <c r="G11" s="114"/>
      <c r="H11" s="114"/>
      <c r="I11" s="114"/>
      <c r="J11" s="114"/>
      <c r="K11" s="117">
        <f>IF(J11="","",J11*0.14)</f>
      </c>
      <c r="L11" s="114"/>
      <c r="M11" s="116">
        <f>IF(L11="","",L11*0.14)</f>
      </c>
      <c r="N11" s="9">
        <f>COUNTIF(C9:C13,"Diesel Generator ≤ 600 bhp")</f>
        <v>0</v>
      </c>
      <c r="O11" s="94" t="s">
        <v>160</v>
      </c>
    </row>
    <row r="12" spans="1:15" ht="15">
      <c r="A12" s="112"/>
      <c r="B12" s="112"/>
      <c r="C12" s="113"/>
      <c r="D12" s="112"/>
      <c r="E12" s="129"/>
      <c r="F12" s="114"/>
      <c r="G12" s="114"/>
      <c r="H12" s="114"/>
      <c r="I12" s="114"/>
      <c r="J12" s="114"/>
      <c r="K12" s="117">
        <f>IF(J12="","",J12*0.14)</f>
      </c>
      <c r="L12" s="114"/>
      <c r="M12" s="116">
        <f>IF(L12="","",L12*0.14)</f>
      </c>
      <c r="N12" s="9">
        <f>COUNTIF(C9:C13,"Diesel Generator&gt; 600 bhp")</f>
        <v>0</v>
      </c>
      <c r="O12" s="9" t="s">
        <v>159</v>
      </c>
    </row>
    <row r="13" spans="1:13" ht="15">
      <c r="A13" s="112"/>
      <c r="B13" s="112"/>
      <c r="C13" s="113"/>
      <c r="D13" s="112"/>
      <c r="E13" s="129"/>
      <c r="F13" s="114"/>
      <c r="G13" s="114"/>
      <c r="H13" s="114"/>
      <c r="I13" s="114"/>
      <c r="J13" s="114"/>
      <c r="K13" s="117">
        <f>IF(J13="","",J13*0.14)</f>
      </c>
      <c r="L13" s="114"/>
      <c r="M13" s="116">
        <f>IF(L13="","",L13*0.14)</f>
      </c>
    </row>
  </sheetData>
  <sheetProtection password="C413" sheet="1"/>
  <mergeCells count="14">
    <mergeCell ref="F7:F8"/>
    <mergeCell ref="J7:J8"/>
    <mergeCell ref="M7:M8"/>
    <mergeCell ref="K7:K8"/>
    <mergeCell ref="H7:H8"/>
    <mergeCell ref="G7:G8"/>
    <mergeCell ref="I7:I8"/>
    <mergeCell ref="L7:L8"/>
    <mergeCell ref="A1:C1"/>
    <mergeCell ref="D7:D8"/>
    <mergeCell ref="A7:A8"/>
    <mergeCell ref="C7:C8"/>
    <mergeCell ref="B7:B8"/>
    <mergeCell ref="E7:E8"/>
  </mergeCells>
  <dataValidations count="1">
    <dataValidation type="list" allowBlank="1" showInputMessage="1" showErrorMessage="1" sqref="C9:C13">
      <formula1>Gen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3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5.00390625" style="44" customWidth="1"/>
    <col min="2" max="2" width="27.57421875" style="44" customWidth="1"/>
    <col min="3" max="3" width="9.00390625" style="44" bestFit="1" customWidth="1"/>
    <col min="4" max="4" width="11.421875" style="44" customWidth="1"/>
    <col min="5" max="5" width="11.00390625" style="44" bestFit="1" customWidth="1"/>
    <col min="6" max="6" width="11.140625" style="125" customWidth="1"/>
    <col min="7" max="7" width="11.8515625" style="44" customWidth="1"/>
    <col min="8" max="8" width="17.8515625" style="44" customWidth="1"/>
    <col min="9" max="9" width="15.8515625" style="44" customWidth="1"/>
    <col min="10" max="10" width="9.28125" style="44" customWidth="1"/>
    <col min="11" max="11" width="17.421875" style="44" customWidth="1"/>
    <col min="12" max="12" width="16.00390625" style="44" customWidth="1"/>
    <col min="13" max="13" width="10.140625" style="44" customWidth="1"/>
    <col min="14" max="16384" width="9.140625" style="44" customWidth="1"/>
  </cols>
  <sheetData>
    <row r="1" spans="1:3" ht="18.75">
      <c r="A1" s="182" t="s">
        <v>165</v>
      </c>
      <c r="B1" s="182"/>
      <c r="C1" s="182"/>
    </row>
    <row r="2" spans="1:6" ht="15.75" customHeight="1">
      <c r="A2" s="204" t="s">
        <v>188</v>
      </c>
      <c r="B2" s="126"/>
      <c r="C2" s="126"/>
      <c r="F2" s="127"/>
    </row>
    <row r="3" spans="1:13" ht="18.75">
      <c r="A3" s="181" t="s">
        <v>24</v>
      </c>
      <c r="B3" s="181"/>
      <c r="C3" s="52"/>
      <c r="D3" s="9"/>
      <c r="E3" s="9"/>
      <c r="F3" s="10"/>
      <c r="G3" s="9"/>
      <c r="H3" s="9"/>
      <c r="I3" s="157" t="s">
        <v>168</v>
      </c>
      <c r="J3" s="9"/>
      <c r="K3" s="157" t="s">
        <v>169</v>
      </c>
      <c r="L3" s="157" t="s">
        <v>22</v>
      </c>
      <c r="M3" s="157" t="s">
        <v>26</v>
      </c>
    </row>
    <row r="4" spans="1:13" ht="15" customHeight="1">
      <c r="A4" s="185" t="s">
        <v>19</v>
      </c>
      <c r="B4" s="157" t="s">
        <v>20</v>
      </c>
      <c r="C4" s="185" t="s">
        <v>17</v>
      </c>
      <c r="D4" s="157" t="s">
        <v>18</v>
      </c>
      <c r="E4" s="160" t="s">
        <v>55</v>
      </c>
      <c r="F4" s="157" t="s">
        <v>21</v>
      </c>
      <c r="G4" s="160" t="s">
        <v>55</v>
      </c>
      <c r="H4" s="168" t="s">
        <v>170</v>
      </c>
      <c r="I4" s="157"/>
      <c r="J4" s="186" t="s">
        <v>23</v>
      </c>
      <c r="K4" s="157"/>
      <c r="L4" s="157"/>
      <c r="M4" s="157"/>
    </row>
    <row r="5" spans="1:13" ht="15">
      <c r="A5" s="185"/>
      <c r="B5" s="157"/>
      <c r="C5" s="185"/>
      <c r="D5" s="157"/>
      <c r="E5" s="161"/>
      <c r="F5" s="157"/>
      <c r="G5" s="161"/>
      <c r="H5" s="170"/>
      <c r="I5" s="157"/>
      <c r="J5" s="186"/>
      <c r="K5" s="157"/>
      <c r="L5" s="157"/>
      <c r="M5" s="157"/>
    </row>
    <row r="6" spans="1:13" ht="15">
      <c r="A6" s="11">
        <f>IF('Facility Processes'!B7="","",'Facility Processes'!B7)</f>
      </c>
      <c r="B6" s="43">
        <f>IF('Facility Processes'!C7="","",'Facility Processes'!C7)</f>
      </c>
      <c r="C6" s="12">
        <f>IF('Facility Processes'!C7="","",IF('Facility Information'!$D$24="Yes",LOOKUP('Facility Processes'!C7,'Emission Factors'!$A$17:$A$24,'Emission Factors'!$B$17:$B$24),IF('Facility Information'!$D$24="No",LOOKUP('Facility Processes'!C7,'Emission Factors'!$A$5:$A$13,'Emission Factors'!$B$5:$B$13))))</f>
      </c>
      <c r="D6" s="11">
        <f>IF('Facility Processes'!G7="","",'Facility Processes'!G7)</f>
      </c>
      <c r="E6" s="11">
        <f>IF('Facility Processes'!G7="","","tons/hr")</f>
      </c>
      <c r="F6" s="67">
        <f>IF('Facility Processes'!C7="","",IF('Facility Information'!$D$24="Yes",LOOKUP('Facility Processes'!C7,'Emission Factors'!$A$17:$A$24,'Emission Factors'!$D$17:$D$24),IF('Facility Information'!$D$24="No",LOOKUP('Facility Processes'!C7,'Emission Factors'!$A$5:$A$13,'Emission Factors'!$D$5:$D$13))))</f>
      </c>
      <c r="G6" s="53">
        <f>IF('Facility Processes'!C7="","",IF('Facility Information'!$D$24="Yes",LOOKUP('Facility Processes'!C7,'Emission Factors'!$A$17:$A$24,'Emission Factors'!$E$17:$E$24),IF('Facility Information'!$D$24="No",LOOKUP('Facility Processes'!C7,'Emission Factors'!$A$5:$A$13,'Emission Factors'!$E$5:$E$13))))</f>
      </c>
      <c r="H6" s="108">
        <f>IF(F6="","","AP-42 Table 11.19.2-2")</f>
      </c>
      <c r="I6" s="54">
        <f>IF(D6="","",IF('Facility Information'!$D$24="NO",IF('Facility Processes'!K7="",D6*F6,'Facility Processes'!K7*D6*F6),""))</f>
      </c>
      <c r="J6" s="11"/>
      <c r="K6" s="54">
        <f>IF(D6="","",IF('Facility Information'!$D$24="YES",IF('Facility Processes'!K7="",D6*F6,'Facility Processes'!K7*D6*F6),""))</f>
      </c>
      <c r="L6" s="54">
        <f>IF('Facility Processes'!C7="","",IF('Facility Information'!$C$28&gt;0,'Facility Information'!$C$28*F6/2000,IF('Facility Information'!$C$29&gt;0,'Facility Information'!$C$29*365*F6/2000,IF('Facility Information'!$C$30&gt;0,'Facility Information'!$C$30*365*'Emission Calculations'!F6*'Emission Calculations'!D6/2000,IF(K6="",D6*F6*8760/2000,K6*8760/2000)))))</f>
      </c>
      <c r="M6" s="54">
        <f>IF('Facility Processes'!C7="","",'Facility Processes'!H7*'Emission Calculations'!F6/2000)</f>
      </c>
    </row>
    <row r="7" spans="1:13" ht="15">
      <c r="A7" s="11">
        <f>IF('Facility Processes'!B8="","",'Facility Processes'!B8)</f>
      </c>
      <c r="B7" s="43">
        <f>IF('Facility Processes'!C8="","",'Facility Processes'!C8)</f>
      </c>
      <c r="C7" s="12">
        <f>IF('Facility Processes'!C8="","",IF('Facility Information'!$D$24="Yes",LOOKUP('Facility Processes'!C8,'Emission Factors'!$A$17:$A$24,'Emission Factors'!$B$17:$B$24),IF('Facility Information'!$D$24="No",LOOKUP('Facility Processes'!C8,'Emission Factors'!$A$5:$A$13,'Emission Factors'!$B$5:$B$13))))</f>
      </c>
      <c r="D7" s="11">
        <f>IF('Facility Processes'!G8="","",'Facility Processes'!G8)</f>
      </c>
      <c r="E7" s="11">
        <f>IF('Facility Processes'!G8="","","tons/hr")</f>
      </c>
      <c r="F7" s="67">
        <f>IF('Facility Processes'!C8="","",IF('Facility Information'!$D$24="Yes",LOOKUP('Facility Processes'!C8,'Emission Factors'!$A$17:$A$24,'Emission Factors'!$D$17:$D$24),IF('Facility Information'!$D$24="No",LOOKUP('Facility Processes'!C8,'Emission Factors'!$A$5:$A$13,'Emission Factors'!$D$5:$D$13))))</f>
      </c>
      <c r="G7" s="53">
        <f>IF('Facility Processes'!C8="","",IF('Facility Information'!$D$24="Yes",LOOKUP('Facility Processes'!C8,'Emission Factors'!$A$17:$A$24,'Emission Factors'!$E$17:$E$24),IF('Facility Information'!$D$24="No",LOOKUP('Facility Processes'!C8,'Emission Factors'!$A$5:$A$13,'Emission Factors'!$E$5:$E$13))))</f>
      </c>
      <c r="H7" s="108">
        <f aca="true" t="shared" si="0" ref="H7:H13">IF(F7="","","AP-42 Table 11.19.2-2")</f>
      </c>
      <c r="I7" s="54">
        <f>IF(D7="","",IF('Facility Information'!$D$24="NO",IF('Facility Processes'!K8="",D7*F7,'Facility Processes'!K8*D7*F7),""))</f>
      </c>
      <c r="J7" s="11"/>
      <c r="K7" s="54">
        <f>IF(D7="","",IF('Facility Information'!$D$24="YES",IF('Facility Processes'!K8="",D7*F7,'Facility Processes'!K8*D7*F7),""))</f>
      </c>
      <c r="L7" s="54">
        <f>IF('Facility Processes'!C8="","",IF('Facility Information'!$C$28&gt;0,'Facility Information'!$C$28*F7/2000,IF('Facility Information'!$C$29&gt;0,'Facility Information'!$C$29*365*F7/2000,IF('Facility Information'!$C$30&gt;0,'Facility Information'!$C$30*365*'Emission Calculations'!F7*'Emission Calculations'!D7/2000,IF(K7="",D7*F7*8760/2000,K7*8760/2000)))))</f>
      </c>
      <c r="M7" s="54">
        <f>IF('Facility Processes'!C8="","",'Facility Processes'!H8*'Emission Calculations'!F7/2000)</f>
      </c>
    </row>
    <row r="8" spans="1:13" ht="15">
      <c r="A8" s="11">
        <f>IF('Facility Processes'!B9="","",'Facility Processes'!B9)</f>
      </c>
      <c r="B8" s="43">
        <f>IF('Facility Processes'!C9="","",'Facility Processes'!C9)</f>
      </c>
      <c r="C8" s="12">
        <f>IF('Facility Processes'!C9="","",IF('Facility Information'!$D$24="Yes",LOOKUP('Facility Processes'!C9,'Emission Factors'!$A$17:$A$24,'Emission Factors'!$B$17:$B$24),IF('Facility Information'!$D$24="No",LOOKUP('Facility Processes'!C9,'Emission Factors'!$A$5:$A$13,'Emission Factors'!$B$5:$B$13))))</f>
      </c>
      <c r="D8" s="11">
        <f>IF('Facility Processes'!G9="","",'Facility Processes'!G9)</f>
      </c>
      <c r="E8" s="11">
        <f>IF('Facility Processes'!G9="","","tons/hr")</f>
      </c>
      <c r="F8" s="67">
        <f>IF('Facility Processes'!C9="","",IF('Facility Information'!$D$24="Yes",LOOKUP('Facility Processes'!C9,'Emission Factors'!$A$17:$A$24,'Emission Factors'!$D$17:$D$24),IF('Facility Information'!$D$24="No",LOOKUP('Facility Processes'!C9,'Emission Factors'!$A$5:$A$13,'Emission Factors'!$D$5:$D$13))))</f>
      </c>
      <c r="G8" s="53">
        <f>IF('Facility Processes'!C9="","",IF('Facility Information'!$D$24="Yes",LOOKUP('Facility Processes'!C9,'Emission Factors'!$A$17:$A$24,'Emission Factors'!$E$17:$E$24),IF('Facility Information'!$D$24="No",LOOKUP('Facility Processes'!C9,'Emission Factors'!$A$5:$A$13,'Emission Factors'!$E$5:$E$13))))</f>
      </c>
      <c r="H8" s="108">
        <f t="shared" si="0"/>
      </c>
      <c r="I8" s="54">
        <f>IF(D8="","",IF('Facility Information'!$D$24="NO",IF('Facility Processes'!K9="",D8*F8,'Facility Processes'!K9*D8*F8),""))</f>
      </c>
      <c r="J8" s="11"/>
      <c r="K8" s="54">
        <f>IF(D8="","",IF('Facility Information'!$D$24="YES",IF('Facility Processes'!K9="",D8*F8,'Facility Processes'!K9*D8*F8),""))</f>
      </c>
      <c r="L8" s="54">
        <f>IF('Facility Processes'!C9="","",IF('Facility Information'!$C$28&gt;0,'Facility Information'!$C$28*F8/2000,IF('Facility Information'!$C$29&gt;0,'Facility Information'!$C$29*365*F8/2000,IF('Facility Information'!$C$30&gt;0,'Facility Information'!$C$30*365*'Emission Calculations'!F8*'Emission Calculations'!D8/2000,IF(K8="",D8*F8*8760/2000,K8*8760/2000)))))</f>
      </c>
      <c r="M8" s="54">
        <f>IF('Facility Processes'!C9="","",'Facility Processes'!H9*'Emission Calculations'!F8/2000)</f>
      </c>
    </row>
    <row r="9" spans="1:13" ht="15">
      <c r="A9" s="11">
        <f>IF('Facility Processes'!B10="","",'Facility Processes'!B10)</f>
      </c>
      <c r="B9" s="43">
        <f>IF('Facility Processes'!C10="","",'Facility Processes'!C10)</f>
      </c>
      <c r="C9" s="12">
        <f>IF('Facility Processes'!C10="","",IF('Facility Information'!$D$24="Yes",LOOKUP('Facility Processes'!C10,'Emission Factors'!$A$17:$A$24,'Emission Factors'!$B$17:$B$24),IF('Facility Information'!$D$24="No",LOOKUP('Facility Processes'!C10,'Emission Factors'!$A$5:$A$13,'Emission Factors'!$B$5:$B$13))))</f>
      </c>
      <c r="D9" s="11">
        <f>IF('Facility Processes'!G10="","",'Facility Processes'!G10)</f>
      </c>
      <c r="E9" s="11">
        <f>IF('Facility Processes'!G10="","","tons/hr")</f>
      </c>
      <c r="F9" s="67">
        <f>IF('Facility Processes'!C10="","",IF('Facility Information'!$D$24="Yes",LOOKUP('Facility Processes'!C10,'Emission Factors'!$A$17:$A$24,'Emission Factors'!$D$17:$D$24),IF('Facility Information'!$D$24="No",LOOKUP('Facility Processes'!C10,'Emission Factors'!$A$5:$A$13,'Emission Factors'!$D$5:$D$13))))</f>
      </c>
      <c r="G9" s="53">
        <f>IF('Facility Processes'!C10="","",IF('Facility Information'!$D$24="Yes",LOOKUP('Facility Processes'!C10,'Emission Factors'!$A$17:$A$24,'Emission Factors'!$E$17:$E$24),IF('Facility Information'!$D$24="No",LOOKUP('Facility Processes'!C10,'Emission Factors'!$A$5:$A$13,'Emission Factors'!$E$5:$E$13))))</f>
      </c>
      <c r="H9" s="108">
        <f t="shared" si="0"/>
      </c>
      <c r="I9" s="54">
        <f>IF(D9="","",IF('Facility Information'!$D$24="NO",IF('Facility Processes'!K10="",D9*F9,'Facility Processes'!K10*D9*F9),""))</f>
      </c>
      <c r="J9" s="11"/>
      <c r="K9" s="54">
        <f>IF(D9="","",IF('Facility Information'!$D$24="YES",IF('Facility Processes'!K10="",D9*F9,'Facility Processes'!K10*D9*F9),""))</f>
      </c>
      <c r="L9" s="54">
        <f>IF('Facility Processes'!C10="","",IF('Facility Information'!$C$28&gt;0,'Facility Information'!$C$28*F9/2000,IF('Facility Information'!$C$29&gt;0,'Facility Information'!$C$29*365*F9/2000,IF('Facility Information'!$C$30&gt;0,'Facility Information'!$C$30*365*'Emission Calculations'!F9*'Emission Calculations'!D9/2000,IF(K9="",D9*F9*8760/2000,K9*8760/2000)))))</f>
      </c>
      <c r="M9" s="54">
        <f>IF('Facility Processes'!C10="","",'Facility Processes'!H10*'Emission Calculations'!F9/2000)</f>
      </c>
    </row>
    <row r="10" spans="1:13" ht="15">
      <c r="A10" s="11">
        <f>IF('Facility Processes'!B11="","",'Facility Processes'!B11)</f>
      </c>
      <c r="B10" s="43">
        <f>IF('Facility Processes'!C11="","",'Facility Processes'!C11)</f>
      </c>
      <c r="C10" s="12">
        <f>IF('Facility Processes'!C11="","",IF('Facility Information'!$D$24="Yes",LOOKUP('Facility Processes'!C11,'Emission Factors'!$A$17:$A$24,'Emission Factors'!$B$17:$B$24),IF('Facility Information'!$D$24="No",LOOKUP('Facility Processes'!C11,'Emission Factors'!$A$5:$A$13,'Emission Factors'!$B$5:$B$13))))</f>
      </c>
      <c r="D10" s="11">
        <f>IF('Facility Processes'!G11="","",'Facility Processes'!G11)</f>
      </c>
      <c r="E10" s="11">
        <f>IF('Facility Processes'!G11="","","tons/hr")</f>
      </c>
      <c r="F10" s="67">
        <f>IF('Facility Processes'!C11="","",IF('Facility Information'!$D$24="Yes",LOOKUP('Facility Processes'!C11,'Emission Factors'!$A$17:$A$24,'Emission Factors'!$D$17:$D$24),IF('Facility Information'!$D$24="No",LOOKUP('Facility Processes'!C11,'Emission Factors'!$A$5:$A$13,'Emission Factors'!$D$5:$D$13))))</f>
      </c>
      <c r="G10" s="53">
        <f>IF('Facility Processes'!C11="","",IF('Facility Information'!$D$24="Yes",LOOKUP('Facility Processes'!C11,'Emission Factors'!$A$17:$A$24,'Emission Factors'!$E$17:$E$24),IF('Facility Information'!$D$24="No",LOOKUP('Facility Processes'!C11,'Emission Factors'!$A$5:$A$13,'Emission Factors'!$E$5:$E$13))))</f>
      </c>
      <c r="H10" s="108">
        <f t="shared" si="0"/>
      </c>
      <c r="I10" s="54">
        <f>IF(D10="","",IF('Facility Information'!$D$24="NO",IF('Facility Processes'!K11="",D10*F10,'Facility Processes'!K11*D10*F10),""))</f>
      </c>
      <c r="J10" s="11"/>
      <c r="K10" s="54">
        <f>IF(D10="","",IF('Facility Information'!$D$24="YES",IF('Facility Processes'!K11="",D10*F10,'Facility Processes'!K11*D10*F10),""))</f>
      </c>
      <c r="L10" s="54">
        <f>IF('Facility Processes'!C11="","",IF('Facility Information'!$C$28&gt;0,'Facility Information'!$C$28*F10/2000,IF('Facility Information'!$C$29&gt;0,'Facility Information'!$C$29*365*F10/2000,IF('Facility Information'!$C$30&gt;0,'Facility Information'!$C$30*365*'Emission Calculations'!F10*'Emission Calculations'!D10/2000,IF(K10="",D10*F10*8760/2000,K10*8760/2000)))))</f>
      </c>
      <c r="M10" s="54">
        <f>IF('Facility Processes'!C11="","",'Facility Processes'!H11*'Emission Calculations'!F10/2000)</f>
      </c>
    </row>
    <row r="11" spans="1:13" ht="15">
      <c r="A11" s="11">
        <f>IF('Facility Processes'!B12="","",'Facility Processes'!B12)</f>
      </c>
      <c r="B11" s="43">
        <f>IF('Facility Processes'!C12="","",'Facility Processes'!C12)</f>
      </c>
      <c r="C11" s="12">
        <f>IF('Facility Processes'!C12="","",IF('Facility Information'!$D$24="Yes",LOOKUP('Facility Processes'!C12,'Emission Factors'!$A$17:$A$24,'Emission Factors'!$B$17:$B$24),IF('Facility Information'!$D$24="No",LOOKUP('Facility Processes'!C12,'Emission Factors'!$A$5:$A$13,'Emission Factors'!$B$5:$B$13))))</f>
      </c>
      <c r="D11" s="11">
        <f>IF('Facility Processes'!G12="","",'Facility Processes'!G12)</f>
      </c>
      <c r="E11" s="11">
        <f>IF('Facility Processes'!G12="","","tons/hr")</f>
      </c>
      <c r="F11" s="67">
        <f>IF('Facility Processes'!C12="","",IF('Facility Information'!$D$24="Yes",LOOKUP('Facility Processes'!C12,'Emission Factors'!$A$17:$A$24,'Emission Factors'!$D$17:$D$24),IF('Facility Information'!$D$24="No",LOOKUP('Facility Processes'!C12,'Emission Factors'!$A$5:$A$13,'Emission Factors'!$D$5:$D$13))))</f>
      </c>
      <c r="G11" s="53">
        <f>IF('Facility Processes'!C12="","",IF('Facility Information'!$D$24="Yes",LOOKUP('Facility Processes'!C12,'Emission Factors'!$A$17:$A$24,'Emission Factors'!$E$17:$E$24),IF('Facility Information'!$D$24="No",LOOKUP('Facility Processes'!C12,'Emission Factors'!$A$5:$A$13,'Emission Factors'!$E$5:$E$13))))</f>
      </c>
      <c r="H11" s="108">
        <f t="shared" si="0"/>
      </c>
      <c r="I11" s="54">
        <f>IF(D11="","",IF('Facility Information'!$D$24="NO",IF('Facility Processes'!K12="",D11*F11,'Facility Processes'!K12*D11*F11),""))</f>
      </c>
      <c r="J11" s="11"/>
      <c r="K11" s="54">
        <f>IF(D11="","",IF('Facility Information'!$D$24="YES",IF('Facility Processes'!K12="",D11*F11,'Facility Processes'!K12*D11*F11),""))</f>
      </c>
      <c r="L11" s="54">
        <f>IF('Facility Processes'!C12="","",IF('Facility Information'!$C$28&gt;0,'Facility Information'!$C$28*F11/2000,IF('Facility Information'!$C$29&gt;0,'Facility Information'!$C$29*365*F11/2000,IF('Facility Information'!$C$30&gt;0,'Facility Information'!$C$30*365*'Emission Calculations'!F11*'Emission Calculations'!D11/2000,IF(K11="",D11*F11*8760/2000,K11*8760/2000)))))</f>
      </c>
      <c r="M11" s="54">
        <f>IF('Facility Processes'!C12="","",'Facility Processes'!H12*'Emission Calculations'!F11/2000)</f>
      </c>
    </row>
    <row r="12" spans="1:13" ht="15">
      <c r="A12" s="11">
        <f>IF('Facility Processes'!B13="","",'Facility Processes'!B13)</f>
      </c>
      <c r="B12" s="43">
        <f>IF('Facility Processes'!C13="","",'Facility Processes'!C13)</f>
      </c>
      <c r="C12" s="12">
        <f>IF('Facility Processes'!C13="","",IF('Facility Information'!$D$24="Yes",LOOKUP('Facility Processes'!C13,'Emission Factors'!$A$17:$A$24,'Emission Factors'!$B$17:$B$24),IF('Facility Information'!$D$24="No",LOOKUP('Facility Processes'!C13,'Emission Factors'!$A$5:$A$13,'Emission Factors'!$B$5:$B$13))))</f>
      </c>
      <c r="D12" s="11">
        <f>IF('Facility Processes'!G13="","",'Facility Processes'!G13)</f>
      </c>
      <c r="E12" s="11">
        <f>IF('Facility Processes'!G13="","","tons/hr")</f>
      </c>
      <c r="F12" s="67">
        <f>IF('Facility Processes'!C13="","",IF('Facility Information'!$D$24="Yes",LOOKUP('Facility Processes'!C13,'Emission Factors'!$A$17:$A$24,'Emission Factors'!$D$17:$D$24),IF('Facility Information'!$D$24="No",LOOKUP('Facility Processes'!C13,'Emission Factors'!$A$5:$A$13,'Emission Factors'!$D$5:$D$13))))</f>
      </c>
      <c r="G12" s="53">
        <f>IF('Facility Processes'!C13="","",IF('Facility Information'!$D$24="Yes",LOOKUP('Facility Processes'!C13,'Emission Factors'!$A$17:$A$24,'Emission Factors'!$E$17:$E$24),IF('Facility Information'!$D$24="No",LOOKUP('Facility Processes'!C13,'Emission Factors'!$A$5:$A$13,'Emission Factors'!$E$5:$E$13))))</f>
      </c>
      <c r="H12" s="108">
        <f t="shared" si="0"/>
      </c>
      <c r="I12" s="54">
        <f>IF(D12="","",IF('Facility Information'!$D$24="NO",IF('Facility Processes'!K13="",D12*F12,'Facility Processes'!K13*D12*F12),""))</f>
      </c>
      <c r="J12" s="11"/>
      <c r="K12" s="54">
        <f>IF(D12="","",IF('Facility Information'!$D$24="YES",IF('Facility Processes'!K13="",D12*F12,'Facility Processes'!K13*D12*F12),""))</f>
      </c>
      <c r="L12" s="54">
        <f>IF('Facility Processes'!C13="","",IF('Facility Information'!$C$28&gt;0,'Facility Information'!$C$28*F12/2000,IF('Facility Information'!$C$29&gt;0,'Facility Information'!$C$29*365*F12/2000,IF('Facility Information'!$C$30&gt;0,'Facility Information'!$C$30*365*'Emission Calculations'!F12*'Emission Calculations'!D12/2000,IF(K12="",D12*F12*8760/2000,K12*8760/2000)))))</f>
      </c>
      <c r="M12" s="54">
        <f>IF('Facility Processes'!C13="","",'Facility Processes'!H13*'Emission Calculations'!F12/2000)</f>
      </c>
    </row>
    <row r="13" spans="1:13" ht="15">
      <c r="A13" s="11">
        <f>IF('Facility Processes'!B14="","",'Facility Processes'!B14)</f>
      </c>
      <c r="B13" s="43">
        <f>IF('Facility Processes'!C14="","",'Facility Processes'!C14)</f>
      </c>
      <c r="C13" s="12">
        <f>IF('Facility Processes'!C14="","",IF('Facility Information'!$D$24="Yes",LOOKUP('Facility Processes'!C14,'Emission Factors'!$A$17:$A$24,'Emission Factors'!$B$17:$B$24),IF('Facility Information'!$D$24="No",LOOKUP('Facility Processes'!C14,'Emission Factors'!$A$5:$A$13,'Emission Factors'!$B$5:$B$13))))</f>
      </c>
      <c r="D13" s="11">
        <f>IF('Facility Processes'!G14="","",'Facility Processes'!G14)</f>
      </c>
      <c r="E13" s="11">
        <f>IF('Facility Processes'!G14="","","tons/hr")</f>
      </c>
      <c r="F13" s="67">
        <f>IF('Facility Processes'!C14="","",IF('Facility Information'!$D$24="Yes",LOOKUP('Facility Processes'!C14,'Emission Factors'!$A$17:$A$24,'Emission Factors'!$D$17:$D$24),IF('Facility Information'!$D$24="No",LOOKUP('Facility Processes'!C14,'Emission Factors'!$A$5:$A$13,'Emission Factors'!$D$5:$D$13))))</f>
      </c>
      <c r="G13" s="53">
        <f>IF('Facility Processes'!C14="","",IF('Facility Information'!$D$24="Yes",LOOKUP('Facility Processes'!C14,'Emission Factors'!$A$17:$A$24,'Emission Factors'!$E$17:$E$24),IF('Facility Information'!$D$24="No",LOOKUP('Facility Processes'!C14,'Emission Factors'!$A$5:$A$13,'Emission Factors'!$E$5:$E$13))))</f>
      </c>
      <c r="H13" s="108">
        <f t="shared" si="0"/>
      </c>
      <c r="I13" s="54">
        <f>IF(D13="","",IF('Facility Information'!$D$24="NO",IF('Facility Processes'!K14="",D13*F13,'Facility Processes'!K14*D13*F13),""))</f>
      </c>
      <c r="J13" s="11"/>
      <c r="K13" s="54">
        <f>IF(D13="","",IF('Facility Information'!$D$24="YES",IF('Facility Processes'!K14="",D13*F13,'Facility Processes'!K14*D13*F13),""))</f>
      </c>
      <c r="L13" s="54">
        <f>IF('Facility Processes'!C14="","",IF('Facility Information'!$C$28&gt;0,'Facility Information'!$C$28*F13/2000,IF('Facility Information'!$C$29&gt;0,'Facility Information'!$C$29*365*F13/2000,IF('Facility Information'!$C$30&gt;0,'Facility Information'!$C$30*365*'Emission Calculations'!F13*'Emission Calculations'!D13/2000,IF(K13="",D13*F13*8760/2000,K13*8760/2000)))))</f>
      </c>
      <c r="M13" s="54">
        <f>IF('Facility Processes'!C14="","",'Facility Processes'!H14*'Emission Calculations'!F13/2000)</f>
      </c>
    </row>
    <row r="14" spans="1:13" ht="15">
      <c r="A14" s="11">
        <f>IF('Facility Processes'!B19="","",'Facility Processes'!B19)</f>
      </c>
      <c r="B14" s="43">
        <f>IF('Facility Processes'!G19="","",'Facility Processes'!C19)</f>
      </c>
      <c r="C14" s="12">
        <f>IF('Facility Processes'!B19="","",IF('Facility Information'!$D$24="Yes",LOOKUP('Facility Processes'!C19,'Emission Factors'!$A$17:$A$24,'Emission Factors'!$B$17:$B$24),IF('Facility Information'!$D$24="No",LOOKUP('Facility Processes'!C19,'Emission Factors'!$A$5:$A$13,'Emission Factors'!$B$5:$B$13))))</f>
      </c>
      <c r="D14" s="11">
        <f>IF('Facility Processes'!G19="","",'Facility Processes'!G19)</f>
      </c>
      <c r="E14" s="11">
        <f>IF('Facility Processes'!G19="","","acre/day")</f>
      </c>
      <c r="F14" s="53">
        <f>IF('Facility Processes'!B19="","",IF('Facility Information'!$D$24="Yes",LOOKUP('Facility Processes'!C19,'Emission Factors'!$A$17:$A$24,'Emission Factors'!$D$17:$D$24),IF('Facility Information'!$D$24="No",LOOKUP('Facility Processes'!C19,'Emission Factors'!$A$5:$A$13,'Emission Factors'!$D$5:$D$13))))</f>
      </c>
      <c r="G14" s="11">
        <f>IF('Facility Processes'!B19="","",IF('Facility Information'!$D$24="Yes",LOOKUP('Facility Processes'!C19,'Emission Factors'!$A$17:$A$24,'Emission Factors'!$E$17:$E$24),IF('Facility Information'!$D$24="No",LOOKUP('Facility Processes'!C19,'Emission Factors'!$A$5:$A$13,'Emission Factors'!$E$5:$E$13))))</f>
      </c>
      <c r="H14" s="108">
        <f>IF('Facility Processes'!B19="","","WebFIRE")</f>
      </c>
      <c r="I14" s="54">
        <f>IF('Facility Processes'!G19="","",'Facility Processes'!G19*F14*(1/24))</f>
      </c>
      <c r="J14" s="11"/>
      <c r="K14" s="54"/>
      <c r="L14" s="54">
        <f>IF('Facility Processes'!G19="","",'Facility Processes'!G19*F14*365/2000)</f>
      </c>
      <c r="M14" s="54">
        <f>IF('Facility Processes'!G19="","",'Facility Processes'!H19*'Facility Processes'!I19*F14/2000)</f>
      </c>
    </row>
    <row r="15" spans="1:13" ht="15">
      <c r="A15" s="11">
        <f>IF('Facility Processes'!B24="","",'Facility Processes'!B24)</f>
      </c>
      <c r="B15" s="43">
        <f>IF('Facility Processes'!G24="","",'Facility Processes'!C24)</f>
      </c>
      <c r="C15" s="12">
        <f>IF('Facility Processes'!$G$24="","","30202054")</f>
      </c>
      <c r="D15" s="54">
        <f>IF(F15="","",'Facility Processes'!$D$29*'Facility Processes'!$K$24/8760)</f>
      </c>
      <c r="E15" s="11">
        <f>IF(F15="","","vmt/hr")</f>
      </c>
      <c r="F15" s="53">
        <f>IF('Facility Processes'!$G$24="","",(0.15*(('Facility Processes'!$D$31/12)^0.9)*(('Facility Processes'!$D$27/3)^0.45)*((365-'Facility Processes'!$D$32)/365)))</f>
      </c>
      <c r="G15" s="11">
        <f>IF(F15="","","lb/vmt")</f>
      </c>
      <c r="H15" s="108">
        <f>IF(F15="","","AP-42 Ch 13.2.2")</f>
      </c>
      <c r="I15" s="54">
        <f>IF(F15="","",L15/((100-J15)/100)*2000/8760)</f>
      </c>
      <c r="J15" s="11">
        <f>IF('Facility Processes'!G24="","",IF('Facility Processes'!D33="NO","",40))</f>
      </c>
      <c r="K15" s="54">
        <f>IF(J15="","",L15*2000/8760)</f>
      </c>
      <c r="L15" s="54">
        <f>IF(F15="","",IF(J15="",F15*'Facility Processes'!$D$29*'Facility Processes'!$K$24/2000,F15*'Facility Processes'!$D$29*'Facility Processes'!$K$24/2000*(100-J15)/100))</f>
      </c>
      <c r="M15" s="54">
        <f>IF(F15="","",IF(J15="",'Facility Processes'!$D$30*'Facility Processes'!$K$24*F15/2000,'Facility Processes'!$D$30*'Facility Processes'!$K$24*F15/2000*((100-J15)/100)))</f>
      </c>
    </row>
    <row r="16" spans="1:13" ht="15">
      <c r="A16" s="11">
        <f>IF('Facility Processes'!B38="","",'Facility Processes'!B38)</f>
      </c>
      <c r="B16" s="43">
        <f>IF('Facility Processes'!B38="","",'Facility Processes'!C38)</f>
      </c>
      <c r="C16" s="12">
        <f>IF('Facility Processes'!$G$38="","","30202054")</f>
      </c>
      <c r="D16" s="54">
        <f>IF(F16="","",'Facility Processes'!$D$43*'Facility Processes'!$K$38/8760)</f>
      </c>
      <c r="E16" s="11">
        <f>IF(F16="","","vmt/hr")</f>
      </c>
      <c r="F16" s="53">
        <f>IF('Facility Processes'!$G$38="","",(0.00054*('Facility Processes'!$D$45^0.91)*('Facility Processes'!$D$41^1.02))*((1-('Facility Processes'!$D$46)/1460)))</f>
      </c>
      <c r="G16" s="11">
        <f>IF(F16="","","lb/vmt")</f>
      </c>
      <c r="H16" s="108">
        <f>IF(F16="","","AP-42 Ch 13.2.1")</f>
      </c>
      <c r="I16" s="54">
        <f>IF(F16="","",L16*2000/8760)</f>
      </c>
      <c r="J16" s="11"/>
      <c r="K16" s="54"/>
      <c r="L16" s="54">
        <f>IF(F16="","",F16*'Facility Processes'!$D$43*'Facility Processes'!$K$38/2000)</f>
      </c>
      <c r="M16" s="54">
        <f>IF(F16="","",'Facility Processes'!$D$44*'Facility Processes'!$K$38*F16/2000)</f>
      </c>
    </row>
    <row r="17" spans="1:13" ht="15">
      <c r="A17" s="11">
        <f>IF('Permitted Diesel Engines'!A9="","",'Permitted Diesel Engines'!A9)</f>
      </c>
      <c r="B17" s="43">
        <f>IF('Permitted Diesel Engines'!C9="","",'Permitted Diesel Engines'!C9)</f>
      </c>
      <c r="C17" s="12">
        <f>IF('Permitted Diesel Engines'!C9="","",LOOKUP('Permitted Diesel Engines'!C9,'Emission Factors'!A42:A43,'Emission Factors'!B42:B43))</f>
      </c>
      <c r="D17" s="11">
        <f>IF('Permitted Diesel Engines'!C9="","",'Permitted Diesel Engines'!K9)</f>
      </c>
      <c r="E17" s="11">
        <f>IF('Permitted Diesel Engines'!C9="","","MMBtu/hr")</f>
      </c>
      <c r="F17" s="53">
        <f>IF('Permitted Diesel Engines'!C9="","",LOOKUP('Permitted Diesel Engines'!C9,'Emission Factors'!$A$42:$A$43,'Emission Factors'!$D$42:$D$43))</f>
      </c>
      <c r="G17" s="11">
        <f>IF('Permitted Diesel Engines'!C9="","",LOOKUP('Permitted Diesel Engines'!C9,'Emission Factors'!$A$42:$A$43,'Emission Factors'!$C$42:$C$43))</f>
      </c>
      <c r="H17" s="108">
        <f>IF('Permitted Diesel Engines'!C9="","",LOOKUP('Permitted Diesel Engines'!C9,'Emission Factors'!$A$42:$A$43,'Emission Factors'!$E$42:$E$43))</f>
      </c>
      <c r="I17" s="54">
        <f>IF('Permitted Diesel Engines'!C9="","",'Emission Calculations'!D17*'Emission Calculations'!F17)</f>
      </c>
      <c r="J17" s="11"/>
      <c r="K17" s="54"/>
      <c r="L17" s="54">
        <f>IF(F17="","",IF('Permitted Diesel Engines'!D3&gt;0,IF('Permitted Diesel Engines'!N11&gt;0,'Permitted Diesel Engines'!D3*0.14*'Emission Factors'!D42/2000,'Permitted Diesel Engines'!D3*0.14*'Emission Factors'!D43/2000),IF('Permitted Diesel Engines'!E9&gt;0,'Permitted Diesel Engines'!E9*'Emission Calculations'!F17*D17/2000,'Emission Calculations'!I17*8760/2000)))</f>
      </c>
      <c r="M17" s="54">
        <f>IF('Permitted Diesel Engines'!C9="","",'Permitted Diesel Engines'!L9*0.14*'Emission Calculations'!F17/2000)</f>
      </c>
    </row>
    <row r="18" spans="1:13" ht="15">
      <c r="A18" s="11">
        <f>IF('Permitted Diesel Engines'!A10="","",'Permitted Diesel Engines'!A10)</f>
      </c>
      <c r="B18" s="43">
        <f>IF('Permitted Diesel Engines'!C10="","",'Permitted Diesel Engines'!C10)</f>
      </c>
      <c r="C18" s="12">
        <f>IF('Permitted Diesel Engines'!C10="","",LOOKUP('Permitted Diesel Engines'!C10,'Emission Factors'!$A$42:$A$43,'Emission Factors'!$B$42:$B$43))</f>
      </c>
      <c r="D18" s="11">
        <f>IF('Permitted Diesel Engines'!C10="","",'Permitted Diesel Engines'!K10)</f>
      </c>
      <c r="E18" s="11">
        <f>IF('Permitted Diesel Engines'!C10="","","MMBtu/hr")</f>
      </c>
      <c r="F18" s="53">
        <f>IF('Permitted Diesel Engines'!C10="","",LOOKUP('Permitted Diesel Engines'!C10,'Emission Factors'!$A$42:$A$43,'Emission Factors'!$D$42:$D$43))</f>
      </c>
      <c r="G18" s="11">
        <f>IF('Permitted Diesel Engines'!C10="","",LOOKUP('Permitted Diesel Engines'!C10,'Emission Factors'!$A$42:$A$43,'Emission Factors'!$C$42:$C$43))</f>
      </c>
      <c r="H18" s="108">
        <f>IF('Permitted Diesel Engines'!C10="","",LOOKUP('Permitted Diesel Engines'!C10,'Emission Factors'!$A$42:$A$43,'Emission Factors'!$E$42:$E$43))</f>
      </c>
      <c r="I18" s="54">
        <f>IF('Permitted Diesel Engines'!C10="","",'Emission Calculations'!D18*'Emission Calculations'!F18)</f>
      </c>
      <c r="J18" s="11"/>
      <c r="K18" s="54"/>
      <c r="L18" s="54">
        <f>IF(F18="","",IF('Permitted Diesel Engines'!$D$3&gt;0,"",IF('Permitted Diesel Engines'!E10&gt;0,'Permitted Diesel Engines'!E10*'Emission Calculations'!F18*D18/2000,'Emission Calculations'!I18*8760/2000)))</f>
      </c>
      <c r="M18" s="54">
        <f>IF('Permitted Diesel Engines'!C10="","",'Permitted Diesel Engines'!L10*0.14*'Emission Calculations'!F18/2000)</f>
      </c>
    </row>
    <row r="19" spans="1:13" ht="15">
      <c r="A19" s="11">
        <f>IF('Permitted Diesel Engines'!A11="","",'Permitted Diesel Engines'!A11)</f>
      </c>
      <c r="B19" s="43">
        <f>IF('Permitted Diesel Engines'!C11="","",'Permitted Diesel Engines'!C11)</f>
      </c>
      <c r="C19" s="12">
        <f>IF('Permitted Diesel Engines'!C11="","",LOOKUP('Permitted Diesel Engines'!C11,'Emission Factors'!$A$42:$A$43,'Emission Factors'!$B$42:$B$43))</f>
      </c>
      <c r="D19" s="11">
        <f>IF('Permitted Diesel Engines'!C11="","",'Permitted Diesel Engines'!K11)</f>
      </c>
      <c r="E19" s="11">
        <f>IF('Permitted Diesel Engines'!C11="","","MMBtu/hr")</f>
      </c>
      <c r="F19" s="53">
        <f>IF('Permitted Diesel Engines'!C11="","",LOOKUP('Permitted Diesel Engines'!C11,'Emission Factors'!$A$42:$A$43,'Emission Factors'!$D$42:$D$43))</f>
      </c>
      <c r="G19" s="11">
        <f>IF('Permitted Diesel Engines'!C11="","",LOOKUP('Permitted Diesel Engines'!C11,'Emission Factors'!$A$42:$A$43,'Emission Factors'!$C$42:$C$43))</f>
      </c>
      <c r="H19" s="108">
        <f>IF('Permitted Diesel Engines'!C11="","",LOOKUP('Permitted Diesel Engines'!C11,'Emission Factors'!$A$42:$A$43,'Emission Factors'!$E$42:$E$43))</f>
      </c>
      <c r="I19" s="54">
        <f>IF('Permitted Diesel Engines'!C11="","",'Emission Calculations'!D19*'Emission Calculations'!F19)</f>
      </c>
      <c r="J19" s="11"/>
      <c r="K19" s="54"/>
      <c r="L19" s="54">
        <f>IF(F19="","",IF('Permitted Diesel Engines'!$D$3&gt;0,"",IF('Permitted Diesel Engines'!E11&gt;0,'Permitted Diesel Engines'!E11*'Emission Calculations'!F19*D19/2000,'Emission Calculations'!I19*8760/2000)))</f>
      </c>
      <c r="M19" s="54">
        <f>IF('Permitted Diesel Engines'!C11="","",'Permitted Diesel Engines'!L11*0.14*'Emission Calculations'!F19/2000)</f>
      </c>
    </row>
    <row r="20" spans="1:13" ht="15">
      <c r="A20" s="11">
        <f>IF('Permitted Diesel Engines'!A12="","",'Permitted Diesel Engines'!A12)</f>
      </c>
      <c r="B20" s="43">
        <f>IF('Permitted Diesel Engines'!C12="","",'Permitted Diesel Engines'!C12)</f>
      </c>
      <c r="C20" s="12">
        <f>IF('Permitted Diesel Engines'!C12="","",LOOKUP('Permitted Diesel Engines'!C12,'Emission Factors'!$A$42:$A$43,'Emission Factors'!$B$42:$B$43))</f>
      </c>
      <c r="D20" s="11">
        <f>IF('Permitted Diesel Engines'!C12="","",'Permitted Diesel Engines'!K12)</f>
      </c>
      <c r="E20" s="11">
        <f>IF('Permitted Diesel Engines'!C12="","","MMBtu/hr")</f>
      </c>
      <c r="F20" s="53">
        <f>IF('Permitted Diesel Engines'!C12="","",LOOKUP('Permitted Diesel Engines'!C12,'Emission Factors'!$A$42:$A$43,'Emission Factors'!$D$42:$D$43))</f>
      </c>
      <c r="G20" s="11">
        <f>IF('Permitted Diesel Engines'!C12="","",LOOKUP('Permitted Diesel Engines'!C12,'Emission Factors'!$A$42:$A$43,'Emission Factors'!$C$42:$C$43))</f>
      </c>
      <c r="H20" s="108">
        <f>IF('Permitted Diesel Engines'!C12="","",LOOKUP('Permitted Diesel Engines'!C12,'Emission Factors'!$A$42:$A$43,'Emission Factors'!$E$42:$E$43))</f>
      </c>
      <c r="I20" s="54">
        <f>IF('Permitted Diesel Engines'!C12="","",'Emission Calculations'!D20*'Emission Calculations'!F20)</f>
      </c>
      <c r="J20" s="11"/>
      <c r="K20" s="54"/>
      <c r="L20" s="54">
        <f>IF(F20="","",IF('Permitted Diesel Engines'!$D$3&gt;0,"",IF('Permitted Diesel Engines'!E12&gt;0,'Permitted Diesel Engines'!E12*'Emission Calculations'!F20*D20/2000,'Emission Calculations'!I20*8760/2000)))</f>
      </c>
      <c r="M20" s="54">
        <f>IF('Permitted Diesel Engines'!C12="","",'Permitted Diesel Engines'!L12*0.14*'Emission Calculations'!F20/2000)</f>
      </c>
    </row>
    <row r="21" spans="1:13" ht="15">
      <c r="A21" s="11">
        <f>IF('Permitted Diesel Engines'!A13="","",'Permitted Diesel Engines'!A13)</f>
      </c>
      <c r="B21" s="43">
        <f>IF('Permitted Diesel Engines'!C13="","",'Permitted Diesel Engines'!C13)</f>
      </c>
      <c r="C21" s="12">
        <f>IF('Permitted Diesel Engines'!C13="","",LOOKUP('Permitted Diesel Engines'!C13,'Emission Factors'!$A$42:$A$43,'Emission Factors'!$B$42:$B$43))</f>
      </c>
      <c r="D21" s="11">
        <f>IF('Permitted Diesel Engines'!C13="","",'Permitted Diesel Engines'!K13)</f>
      </c>
      <c r="E21" s="11">
        <f>IF('Permitted Diesel Engines'!C13="","","MMBtu/hr")</f>
      </c>
      <c r="F21" s="53">
        <f>IF('Permitted Diesel Engines'!C13="","",LOOKUP('Permitted Diesel Engines'!C13,'Emission Factors'!$A$42:$A$43,'Emission Factors'!$D$42:$D$43))</f>
      </c>
      <c r="G21" s="11">
        <f>IF('Permitted Diesel Engines'!C13="","",LOOKUP('Permitted Diesel Engines'!C13,'Emission Factors'!$A$42:$A$43,'Emission Factors'!$C$42:$C$43))</f>
      </c>
      <c r="H21" s="108">
        <f>IF('Permitted Diesel Engines'!C13="","",LOOKUP('Permitted Diesel Engines'!C13,'Emission Factors'!$A$42:$A$43,'Emission Factors'!$E$42:$E$43))</f>
      </c>
      <c r="I21" s="54">
        <f>IF('Permitted Diesel Engines'!C13="","",'Emission Calculations'!D21*'Emission Calculations'!F21)</f>
      </c>
      <c r="J21" s="11"/>
      <c r="K21" s="54"/>
      <c r="L21" s="54">
        <f>IF(F21="","",IF('Permitted Diesel Engines'!$D$3&gt;0,"",IF('Permitted Diesel Engines'!E13&gt;0,'Permitted Diesel Engines'!E13*'Emission Calculations'!F21*D21/2000,'Emission Calculations'!I21*8760/2000)))</f>
      </c>
      <c r="M21" s="54">
        <f>IF('Permitted Diesel Engines'!C13="","",'Permitted Diesel Engines'!L13*0.14*'Emission Calculations'!F21/2000)</f>
      </c>
    </row>
    <row r="22" spans="1:13" ht="15">
      <c r="A22" s="10"/>
      <c r="B22" s="9"/>
      <c r="C22" s="9"/>
      <c r="D22" s="10"/>
      <c r="E22" s="10"/>
      <c r="F22" s="10"/>
      <c r="G22" s="10"/>
      <c r="H22" s="10"/>
      <c r="I22" s="13"/>
      <c r="J22" s="10"/>
      <c r="K22" s="54" t="s">
        <v>39</v>
      </c>
      <c r="L22" s="54">
        <f>SUM(L6:L21)</f>
        <v>0</v>
      </c>
      <c r="M22" s="54">
        <f>SUM(M6:M21)</f>
        <v>0</v>
      </c>
    </row>
    <row r="23" spans="1:13" ht="15">
      <c r="A23" s="10"/>
      <c r="B23" s="9"/>
      <c r="C23" s="9"/>
      <c r="D23" s="10"/>
      <c r="E23" s="10"/>
      <c r="F23" s="10"/>
      <c r="G23" s="10"/>
      <c r="H23" s="10"/>
      <c r="I23" s="13"/>
      <c r="J23" s="10"/>
      <c r="K23" s="106"/>
      <c r="L23" s="106"/>
      <c r="M23" s="106"/>
    </row>
    <row r="24" spans="1:13" ht="18.75">
      <c r="A24" s="181" t="s">
        <v>25</v>
      </c>
      <c r="B24" s="181"/>
      <c r="C24" s="52"/>
      <c r="D24" s="10"/>
      <c r="E24" s="10"/>
      <c r="F24" s="10"/>
      <c r="G24" s="9"/>
      <c r="H24" s="9"/>
      <c r="I24" s="157" t="s">
        <v>168</v>
      </c>
      <c r="J24" s="9"/>
      <c r="K24" s="157" t="s">
        <v>169</v>
      </c>
      <c r="L24" s="157" t="s">
        <v>22</v>
      </c>
      <c r="M24" s="157" t="s">
        <v>26</v>
      </c>
    </row>
    <row r="25" spans="1:13" ht="15" customHeight="1">
      <c r="A25" s="185" t="s">
        <v>19</v>
      </c>
      <c r="B25" s="157" t="s">
        <v>20</v>
      </c>
      <c r="C25" s="185" t="s">
        <v>17</v>
      </c>
      <c r="D25" s="157" t="s">
        <v>18</v>
      </c>
      <c r="E25" s="160" t="s">
        <v>55</v>
      </c>
      <c r="F25" s="157" t="s">
        <v>21</v>
      </c>
      <c r="G25" s="160" t="s">
        <v>55</v>
      </c>
      <c r="H25" s="168" t="s">
        <v>170</v>
      </c>
      <c r="I25" s="157"/>
      <c r="J25" s="157" t="s">
        <v>23</v>
      </c>
      <c r="K25" s="157"/>
      <c r="L25" s="157"/>
      <c r="M25" s="157"/>
    </row>
    <row r="26" spans="1:13" ht="15">
      <c r="A26" s="185"/>
      <c r="B26" s="157"/>
      <c r="C26" s="185"/>
      <c r="D26" s="157"/>
      <c r="E26" s="161"/>
      <c r="F26" s="157"/>
      <c r="G26" s="161"/>
      <c r="H26" s="170"/>
      <c r="I26" s="157"/>
      <c r="J26" s="157"/>
      <c r="K26" s="157"/>
      <c r="L26" s="157"/>
      <c r="M26" s="157"/>
    </row>
    <row r="27" spans="1:13" ht="15">
      <c r="A27" s="11">
        <f>IF('Facility Processes'!B7="","",'Facility Processes'!B7)</f>
      </c>
      <c r="B27" s="12">
        <f>IF('Facility Processes'!C7="","",'Facility Processes'!C7)</f>
      </c>
      <c r="C27" s="12">
        <f>IF('Facility Processes'!C7="","",IF('Facility Information'!$D$24="Yes",LOOKUP('Facility Processes'!C7,'Emission Factors'!$A$17:$A$24,'Emission Factors'!$B$17:$B$24),IF('Facility Information'!$D$24="No",LOOKUP('Facility Processes'!C7,'Emission Factors'!$A$5:$A$13,'Emission Factors'!$B$5:$B$13))))</f>
      </c>
      <c r="D27" s="11">
        <f>IF('Facility Processes'!G7="","",'Facility Processes'!G7)</f>
      </c>
      <c r="E27" s="11">
        <f>IF('Facility Processes'!G7="","","tons/hr")</f>
      </c>
      <c r="F27" s="67">
        <f>IF('Facility Processes'!C7="","",IF('Facility Information'!$D$24="Yes",LOOKUP('Facility Processes'!C7,'Emission Factors'!$A$17:$A$24,'Emission Factors'!$F$17:$F$24),IF('Facility Information'!$D$24="No",LOOKUP('Facility Processes'!C7,'Emission Factors'!$A$5:$A$13,'Emission Factors'!$F$5:$F$13))))</f>
      </c>
      <c r="G27" s="11">
        <f>IF('Facility Processes'!C7="","",IF('Facility Information'!$D$24="Yes",LOOKUP('Facility Processes'!C7,'Emission Factors'!$A$17:$A$24,'Emission Factors'!$G$17:$G$24),IF('Facility Information'!$D$24="No",LOOKUP('Facility Processes'!C7,'Emission Factors'!$A$5:$A$13,'Emission Factors'!$G$5:$G$13))))</f>
      </c>
      <c r="H27" s="108">
        <f>IF(F27="","","AP-42 Table 11.19.2-2")</f>
      </c>
      <c r="I27" s="54">
        <f>IF(D27="","",IF('Facility Information'!$D$24="NO",IF('Facility Processes'!K7="",D27*F27,'Facility Processes'!K7*D27*F27),""))</f>
      </c>
      <c r="J27" s="11"/>
      <c r="K27" s="54">
        <f>IF(D27="","",IF('Facility Information'!$E$28&gt;0,'Facility Information'!$E$28,IF('Facility Information'!$D$24="YES",IF('Facility Processes'!K7="",D27*F27,'Facility Processes'!K7*D27*F27),"")))</f>
      </c>
      <c r="L27" s="54">
        <f>IF('Facility Processes'!C7="","",IF('Facility Information'!$E$29&gt;0,'Facility Information'!$E$29,IF('Facility Information'!$C$28&gt;0,'Facility Information'!$C$28*F27/2000,IF('Facility Information'!$C$29&gt;0,'Facility Information'!$C$29*365*F27/2000,IF('Facility Information'!$C$30&gt;0,'Facility Information'!$C$30*365*'Emission Calculations'!F27*'Emission Calculations'!D27/2000,IF('Facility Information'!$E$28&gt;0,'Facility Information'!$E$28*(IF('Facility Information'!C30&gt;0,'Facility Information'!C30*365/2000,8760/2000)),IF(K27="",D27*F27*8760/2000,K27*8760/2000)))))))</f>
      </c>
      <c r="M27" s="54">
        <f>IF('Facility Processes'!C7="","",'Facility Processes'!H7*F27/2000)</f>
      </c>
    </row>
    <row r="28" spans="1:13" ht="15">
      <c r="A28" s="11">
        <f>IF('Facility Processes'!B8="","",'Facility Processes'!B8)</f>
      </c>
      <c r="B28" s="12">
        <f>IF('Facility Processes'!C8="","",'Facility Processes'!C8)</f>
      </c>
      <c r="C28" s="12">
        <f>IF('Facility Processes'!C8="","",IF('Facility Information'!$D$24="Yes",LOOKUP('Facility Processes'!C8,'Emission Factors'!$A$17:$A$24,'Emission Factors'!$B$17:$B$24),IF('Facility Information'!$D$24="No",LOOKUP('Facility Processes'!C8,'Emission Factors'!$A$5:$A$13,'Emission Factors'!$B$5:$B$13))))</f>
      </c>
      <c r="D28" s="11">
        <f>IF('Facility Processes'!G8="","",'Facility Processes'!G8)</f>
      </c>
      <c r="E28" s="11">
        <f>IF('Facility Processes'!G8="","","tons/hr")</f>
      </c>
      <c r="F28" s="67">
        <f>IF('Facility Processes'!C8="","",IF('Facility Information'!$D$24="Yes",LOOKUP('Facility Processes'!C8,'Emission Factors'!$A$17:$A$24,'Emission Factors'!$F$17:$F$24),IF('Facility Information'!$D$24="No",LOOKUP('Facility Processes'!C8,'Emission Factors'!$A$5:$A$13,'Emission Factors'!$F$5:$F$13))))</f>
      </c>
      <c r="G28" s="11">
        <f>IF('Facility Processes'!C8="","",IF('Facility Information'!$D$24="Yes",LOOKUP('Facility Processes'!C8,'Emission Factors'!$A$17:$A$24,'Emission Factors'!$G$17:$G$24),IF('Facility Information'!$D$24="No",LOOKUP('Facility Processes'!C8,'Emission Factors'!$A$5:$A$13,'Emission Factors'!$G$5:$G$13))))</f>
      </c>
      <c r="H28" s="108">
        <f aca="true" t="shared" si="1" ref="H28:H34">IF(F28="","","AP-42 Table 11.19.2-2")</f>
      </c>
      <c r="I28" s="54">
        <f>IF(D28="","",IF('Facility Information'!$D$24="NO",IF('Facility Processes'!K8="",D28*F28,'Facility Processes'!K8*D28*F28),""))</f>
      </c>
      <c r="J28" s="11"/>
      <c r="K28" s="54">
        <f>IF(D28="","",IF('Facility Information'!$E$28&gt;0,"",IF('Facility Information'!$D$24="YES",IF('Facility Processes'!K8="",D28*F28,'Facility Processes'!K8*D28*F28),"")))</f>
      </c>
      <c r="L28" s="54">
        <f>IF('Facility Processes'!C8="","",IF('Facility Information'!$E$29&gt;0,"",IF('Facility Information'!$C$28&gt;0,'Facility Information'!$C$28*F28/2000,IF('Facility Information'!$C$29&gt;0,'Facility Information'!$C$29*365*F28/2000,IF('Facility Information'!$C$30&gt;0,'Facility Information'!$C$30*365*'Emission Calculations'!F28*'Emission Calculations'!D28/2000,IF('Facility Information'!$E$28&gt;0,"",IF(K28="",D28*F28*8760/2000,K28*8760/2000)))))))</f>
      </c>
      <c r="M28" s="54">
        <f>IF('Facility Processes'!C8="","",'Facility Processes'!H8*F28/2000)</f>
      </c>
    </row>
    <row r="29" spans="1:13" ht="15">
      <c r="A29" s="11">
        <f>IF('Facility Processes'!B9="","",'Facility Processes'!B9)</f>
      </c>
      <c r="B29" s="12">
        <f>IF('Facility Processes'!C9="","",'Facility Processes'!C9)</f>
      </c>
      <c r="C29" s="12">
        <f>IF('Facility Processes'!C9="","",IF('Facility Information'!$D$24="Yes",LOOKUP('Facility Processes'!C9,'Emission Factors'!$A$17:$A$24,'Emission Factors'!$B$17:$B$24),IF('Facility Information'!$D$24="No",LOOKUP('Facility Processes'!C9,'Emission Factors'!$A$5:$A$13,'Emission Factors'!$B$5:$B$13))))</f>
      </c>
      <c r="D29" s="11">
        <f>IF('Facility Processes'!G9="","",'Facility Processes'!G9)</f>
      </c>
      <c r="E29" s="11">
        <f>IF('Facility Processes'!G9="","","tons/hr")</f>
      </c>
      <c r="F29" s="67">
        <f>IF('Facility Processes'!C9="","",IF('Facility Information'!$D$24="Yes",LOOKUP('Facility Processes'!C9,'Emission Factors'!$A$17:$A$24,'Emission Factors'!$F$17:$F$24),IF('Facility Information'!$D$24="No",LOOKUP('Facility Processes'!C9,'Emission Factors'!$A$5:$A$13,'Emission Factors'!$F$5:$F$13))))</f>
      </c>
      <c r="G29" s="11">
        <f>IF('Facility Processes'!C9="","",IF('Facility Information'!$D$24="Yes",LOOKUP('Facility Processes'!C9,'Emission Factors'!$A$17:$A$24,'Emission Factors'!$G$17:$G$24),IF('Facility Information'!$D$24="No",LOOKUP('Facility Processes'!C9,'Emission Factors'!$A$5:$A$13,'Emission Factors'!$G$5:$G$13))))</f>
      </c>
      <c r="H29" s="108">
        <f t="shared" si="1"/>
      </c>
      <c r="I29" s="54">
        <f>IF(D29="","",IF('Facility Information'!$D$24="NO",IF('Facility Processes'!K9="",D29*F29,'Facility Processes'!K9*D29*F29),""))</f>
      </c>
      <c r="J29" s="11"/>
      <c r="K29" s="54">
        <f>IF(D29="","",IF('Facility Information'!$E$28&gt;0,"",IF('Facility Information'!$D$24="YES",IF('Facility Processes'!K9="",D29*F29,'Facility Processes'!K9*D29*F29),"")))</f>
      </c>
      <c r="L29" s="54">
        <f>IF('Facility Processes'!C9="","",IF('Facility Information'!$E$29&gt;0,"",IF('Facility Information'!$C$28&gt;0,'Facility Information'!$C$28*F29/2000,IF('Facility Information'!$C$29&gt;0,'Facility Information'!$C$29*365*F29/2000,IF('Facility Information'!$C$30&gt;0,'Facility Information'!$C$30*365*'Emission Calculations'!F29*'Emission Calculations'!D29/2000,IF('Facility Information'!$E$28&gt;0,"",IF(K29="",D29*F29*8760/2000,K29*8760/2000)))))))</f>
      </c>
      <c r="M29" s="54">
        <f>IF('Facility Processes'!C9="","",'Facility Processes'!H9*F29/2000)</f>
      </c>
    </row>
    <row r="30" spans="1:13" ht="15">
      <c r="A30" s="11">
        <f>IF('Facility Processes'!B10="","",'Facility Processes'!B10)</f>
      </c>
      <c r="B30" s="12">
        <f>IF('Facility Processes'!C10="","",'Facility Processes'!C10)</f>
      </c>
      <c r="C30" s="12">
        <f>IF('Facility Processes'!C10="","",IF('Facility Information'!$D$24="Yes",LOOKUP('Facility Processes'!C10,'Emission Factors'!$A$17:$A$24,'Emission Factors'!$B$17:$B$24),IF('Facility Information'!$D$24="No",LOOKUP('Facility Processes'!C10,'Emission Factors'!$A$5:$A$13,'Emission Factors'!$B$5:$B$13))))</f>
      </c>
      <c r="D30" s="11">
        <f>IF('Facility Processes'!G10="","",'Facility Processes'!G10)</f>
      </c>
      <c r="E30" s="11">
        <f>IF('Facility Processes'!G10="","","tons/hr")</f>
      </c>
      <c r="F30" s="67">
        <f>IF('Facility Processes'!C10="","",IF('Facility Information'!$D$24="Yes",LOOKUP('Facility Processes'!C10,'Emission Factors'!$A$17:$A$24,'Emission Factors'!$F$17:$F$24),IF('Facility Information'!$D$24="No",LOOKUP('Facility Processes'!C10,'Emission Factors'!$A$5:$A$13,'Emission Factors'!$F$5:$F$13))))</f>
      </c>
      <c r="G30" s="11">
        <f>IF('Facility Processes'!C10="","",IF('Facility Information'!$D$24="Yes",LOOKUP('Facility Processes'!C10,'Emission Factors'!$A$17:$A$24,'Emission Factors'!$G$17:$G$24),IF('Facility Information'!$D$24="No",LOOKUP('Facility Processes'!C10,'Emission Factors'!$A$5:$A$13,'Emission Factors'!$G$5:$G$13))))</f>
      </c>
      <c r="H30" s="108">
        <f t="shared" si="1"/>
      </c>
      <c r="I30" s="54">
        <f>IF(D30="","",IF('Facility Information'!$D$24="NO",IF('Facility Processes'!K10="",D30*F30,'Facility Processes'!K10*D30*F30),""))</f>
      </c>
      <c r="J30" s="11"/>
      <c r="K30" s="54">
        <f>IF(D30="","",IF('Facility Information'!$E$28&gt;0,"",IF('Facility Information'!$D$24="YES",IF('Facility Processes'!K10="",D30*F30,'Facility Processes'!K10*D30*F30),"")))</f>
      </c>
      <c r="L30" s="54">
        <f>IF('Facility Processes'!C10="","",IF('Facility Information'!$E$29&gt;0,"",IF('Facility Information'!$C$28&gt;0,'Facility Information'!$C$28*F30/2000,IF('Facility Information'!$C$29&gt;0,'Facility Information'!$C$29*365*F30/2000,IF('Facility Information'!$C$30&gt;0,'Facility Information'!$C$30*365*'Emission Calculations'!F30*'Emission Calculations'!D30/2000,IF('Facility Information'!$E$28&gt;0,"",IF(K30="",D30*F30*8760/2000,K30*8760/2000)))))))</f>
      </c>
      <c r="M30" s="54">
        <f>IF('Facility Processes'!C10="","",'Facility Processes'!H10*F30/2000)</f>
      </c>
    </row>
    <row r="31" spans="1:13" ht="15">
      <c r="A31" s="11">
        <f>IF('Facility Processes'!B11="","",'Facility Processes'!B11)</f>
      </c>
      <c r="B31" s="12">
        <f>IF('Facility Processes'!C11="","",'Facility Processes'!C11)</f>
      </c>
      <c r="C31" s="12">
        <f>IF('Facility Processes'!C11="","",IF('Facility Information'!$D$24="Yes",LOOKUP('Facility Processes'!C11,'Emission Factors'!$A$17:$A$24,'Emission Factors'!$B$17:$B$24),IF('Facility Information'!$D$24="No",LOOKUP('Facility Processes'!C11,'Emission Factors'!$A$5:$A$13,'Emission Factors'!$B$5:$B$13))))</f>
      </c>
      <c r="D31" s="11">
        <f>IF('Facility Processes'!G11="","",'Facility Processes'!G11)</f>
      </c>
      <c r="E31" s="11">
        <f>IF('Facility Processes'!G11="","","tons/hr")</f>
      </c>
      <c r="F31" s="67">
        <f>IF('Facility Processes'!C11="","",IF('Facility Information'!$D$24="Yes",LOOKUP('Facility Processes'!C11,'Emission Factors'!$A$17:$A$24,'Emission Factors'!$F$17:$F$24),IF('Facility Information'!$D$24="No",LOOKUP('Facility Processes'!C11,'Emission Factors'!$A$5:$A$13,'Emission Factors'!$F$5:$F$13))))</f>
      </c>
      <c r="G31" s="11">
        <f>IF('Facility Processes'!C11="","",IF('Facility Information'!$D$24="Yes",LOOKUP('Facility Processes'!C11,'Emission Factors'!$A$17:$A$24,'Emission Factors'!$G$17:$G$24),IF('Facility Information'!$D$24="No",LOOKUP('Facility Processes'!C11,'Emission Factors'!$A$5:$A$13,'Emission Factors'!$G$5:$G$13))))</f>
      </c>
      <c r="H31" s="108">
        <f t="shared" si="1"/>
      </c>
      <c r="I31" s="54">
        <f>IF(D31="","",IF('Facility Information'!$D$24="NO",IF('Facility Processes'!K11="",D31*F31,'Facility Processes'!K11*D31*F31),""))</f>
      </c>
      <c r="J31" s="11"/>
      <c r="K31" s="54">
        <f>IF(D31="","",IF('Facility Information'!$E$28&gt;0,"",IF('Facility Information'!$D$24="YES",IF('Facility Processes'!K11="",D31*F31,'Facility Processes'!K11*D31*F31),"")))</f>
      </c>
      <c r="L31" s="54">
        <f>IF('Facility Processes'!C11="","",IF('Facility Information'!$E$29&gt;0,"",IF('Facility Information'!$C$28&gt;0,'Facility Information'!$C$28*F31/2000,IF('Facility Information'!$C$29&gt;0,'Facility Information'!$C$29*365*F31/2000,IF('Facility Information'!$C$30&gt;0,'Facility Information'!$C$30*365*'Emission Calculations'!F31*'Emission Calculations'!D31/2000,IF('Facility Information'!$E$28&gt;0,"",IF(K31="",D31*F31*8760/2000,K31*8760/2000)))))))</f>
      </c>
      <c r="M31" s="54">
        <f>IF('Facility Processes'!C11="","",'Facility Processes'!H11*F31/2000)</f>
      </c>
    </row>
    <row r="32" spans="1:13" ht="15">
      <c r="A32" s="11">
        <f>IF('Facility Processes'!B12="","",'Facility Processes'!B12)</f>
      </c>
      <c r="B32" s="12">
        <f>IF('Facility Processes'!C12="","",'Facility Processes'!C12)</f>
      </c>
      <c r="C32" s="12">
        <f>IF('Facility Processes'!C12="","",IF('Facility Information'!$D$24="Yes",LOOKUP('Facility Processes'!C12,'Emission Factors'!$A$17:$A$24,'Emission Factors'!$B$17:$B$24),IF('Facility Information'!$D$24="No",LOOKUP('Facility Processes'!C12,'Emission Factors'!$A$5:$A$13,'Emission Factors'!$B$5:$B$13))))</f>
      </c>
      <c r="D32" s="11">
        <f>IF('Facility Processes'!G12="","",'Facility Processes'!G12)</f>
      </c>
      <c r="E32" s="11">
        <f>IF('Facility Processes'!G12="","","tons/hr")</f>
      </c>
      <c r="F32" s="67">
        <f>IF('Facility Processes'!C12="","",IF('Facility Information'!$D$24="Yes",LOOKUP('Facility Processes'!C12,'Emission Factors'!$A$17:$A$24,'Emission Factors'!$F$17:$F$24),IF('Facility Information'!$D$24="No",LOOKUP('Facility Processes'!C12,'Emission Factors'!$A$5:$A$13,'Emission Factors'!$F$5:$F$13))))</f>
      </c>
      <c r="G32" s="11">
        <f>IF('Facility Processes'!C12="","",IF('Facility Information'!$D$24="Yes",LOOKUP('Facility Processes'!C12,'Emission Factors'!$A$17:$A$24,'Emission Factors'!$G$17:$G$24),IF('Facility Information'!$D$24="No",LOOKUP('Facility Processes'!C12,'Emission Factors'!$A$5:$A$13,'Emission Factors'!$G$5:$G$13))))</f>
      </c>
      <c r="H32" s="108">
        <f t="shared" si="1"/>
      </c>
      <c r="I32" s="54">
        <f>IF(D32="","",IF('Facility Information'!$D$24="NO",IF('Facility Processes'!K12="",D32*F32,'Facility Processes'!K12*D32*F32),""))</f>
      </c>
      <c r="J32" s="11"/>
      <c r="K32" s="54">
        <f>IF(D32="","",IF('Facility Information'!$E$28&gt;0,"",IF('Facility Information'!$D$24="YES",IF('Facility Processes'!K12="",D32*F32,'Facility Processes'!K12*D32*F32),"")))</f>
      </c>
      <c r="L32" s="54">
        <f>IF('Facility Processes'!C12="","",IF('Facility Information'!$E$29&gt;0,"",IF('Facility Information'!$C$28&gt;0,'Facility Information'!$C$28*F32/2000,IF('Facility Information'!$C$29&gt;0,'Facility Information'!$C$29*365*F32/2000,IF('Facility Information'!$C$30&gt;0,'Facility Information'!$C$30*365*'Emission Calculations'!F32*'Emission Calculations'!D32/2000,IF('Facility Information'!$E$28&gt;0,"",IF(K32="",D32*F32*8760/2000,K32*8760/2000)))))))</f>
      </c>
      <c r="M32" s="54">
        <f>IF('Facility Processes'!C12="","",'Facility Processes'!H12*F32/2000)</f>
      </c>
    </row>
    <row r="33" spans="1:13" ht="15">
      <c r="A33" s="11">
        <f>IF('Facility Processes'!B13="","",'Facility Processes'!B13)</f>
      </c>
      <c r="B33" s="12">
        <f>IF('Facility Processes'!C13="","",'Facility Processes'!C13)</f>
      </c>
      <c r="C33" s="12">
        <f>IF('Facility Processes'!C13="","",IF('Facility Information'!$D$24="Yes",LOOKUP('Facility Processes'!C13,'Emission Factors'!$A$17:$A$24,'Emission Factors'!$B$17:$B$24),IF('Facility Information'!$D$24="No",LOOKUP('Facility Processes'!C13,'Emission Factors'!$A$5:$A$13,'Emission Factors'!$B$5:$B$13))))</f>
      </c>
      <c r="D33" s="11">
        <f>IF('Facility Processes'!G13="","",'Facility Processes'!G13)</f>
      </c>
      <c r="E33" s="11">
        <f>IF('Facility Processes'!G13="","","tons/hr")</f>
      </c>
      <c r="F33" s="67">
        <f>IF('Facility Processes'!C13="","",IF('Facility Information'!$D$24="Yes",LOOKUP('Facility Processes'!C13,'Emission Factors'!$A$17:$A$24,'Emission Factors'!$F$17:$F$24),IF('Facility Information'!$D$24="No",LOOKUP('Facility Processes'!C13,'Emission Factors'!$A$5:$A$13,'Emission Factors'!$F$5:$F$13))))</f>
      </c>
      <c r="G33" s="11">
        <f>IF('Facility Processes'!C13="","",IF('Facility Information'!$D$24="Yes",LOOKUP('Facility Processes'!C13,'Emission Factors'!$A$17:$A$24,'Emission Factors'!$G$17:$G$24),IF('Facility Information'!$D$24="No",LOOKUP('Facility Processes'!C13,'Emission Factors'!$A$5:$A$13,'Emission Factors'!$G$5:$G$13))))</f>
      </c>
      <c r="H33" s="108">
        <f t="shared" si="1"/>
      </c>
      <c r="I33" s="54">
        <f>IF(D33="","",IF('Facility Information'!$D$24="NO",IF('Facility Processes'!K13="",D33*F33,'Facility Processes'!K13*D33*F33),""))</f>
      </c>
      <c r="J33" s="11"/>
      <c r="K33" s="54">
        <f>IF(D33="","",IF('Facility Information'!$E$28&gt;0,"",IF('Facility Information'!$D$24="YES",IF('Facility Processes'!K13="",D33*F33,'Facility Processes'!K13*D33*F33),"")))</f>
      </c>
      <c r="L33" s="54">
        <f>IF('Facility Processes'!C13="","",IF('Facility Information'!$E$29&gt;0,"",IF('Facility Information'!$C$28&gt;0,'Facility Information'!$C$28*F33/2000,IF('Facility Information'!$C$29&gt;0,'Facility Information'!$C$29*365*F33/2000,IF('Facility Information'!$C$30&gt;0,'Facility Information'!$C$30*365*'Emission Calculations'!F33*'Emission Calculations'!D33/2000,IF('Facility Information'!$E$28&gt;0,"",IF(K33="",D33*F33*8760/2000,K33*8760/2000)))))))</f>
      </c>
      <c r="M33" s="54">
        <f>IF('Facility Processes'!C13="","",'Facility Processes'!H13*F33/2000)</f>
      </c>
    </row>
    <row r="34" spans="1:13" ht="15">
      <c r="A34" s="11">
        <f>IF('Facility Processes'!B14="","",'Facility Processes'!B14)</f>
      </c>
      <c r="B34" s="12">
        <f>IF('Facility Processes'!C14="","",'Facility Processes'!C14)</f>
      </c>
      <c r="C34" s="12">
        <f>IF('Facility Processes'!C14="","",IF('Facility Information'!$D$24="Yes",LOOKUP('Facility Processes'!C14,'Emission Factors'!$A$17:$A$24,'Emission Factors'!$B$17:$B$24),IF('Facility Information'!$D$24="No",LOOKUP('Facility Processes'!C14,'Emission Factors'!$A$5:$A$13,'Emission Factors'!$B$5:$B$13))))</f>
      </c>
      <c r="D34" s="11">
        <f>IF('Facility Processes'!G14="","",'Facility Processes'!G14)</f>
      </c>
      <c r="E34" s="11">
        <f>IF('Facility Processes'!G14="","","tons/hr")</f>
      </c>
      <c r="F34" s="67">
        <f>IF('Facility Processes'!C14="","",IF('Facility Information'!$D$24="Yes",LOOKUP('Facility Processes'!C14,'Emission Factors'!$A$17:$A$24,'Emission Factors'!$F$17:$F$24),IF('Facility Information'!$D$24="No",LOOKUP('Facility Processes'!C14,'Emission Factors'!$A$5:$A$13,'Emission Factors'!$F$5:$F$13))))</f>
      </c>
      <c r="G34" s="11">
        <f>IF('Facility Processes'!C14="","",IF('Facility Information'!$D$24="Yes",LOOKUP('Facility Processes'!C14,'Emission Factors'!$A$17:$A$24,'Emission Factors'!$G$17:$G$24),IF('Facility Information'!$D$24="No",LOOKUP('Facility Processes'!C14,'Emission Factors'!$A$5:$A$13,'Emission Factors'!$G$5:$G$13))))</f>
      </c>
      <c r="H34" s="108">
        <f t="shared" si="1"/>
      </c>
      <c r="I34" s="54">
        <f>IF(D34="","",IF('Facility Information'!$D$24="NO",IF('Facility Processes'!K14="",D34*F34,'Facility Processes'!K14*D34*F34),""))</f>
      </c>
      <c r="J34" s="11"/>
      <c r="K34" s="54">
        <f>IF(D34="","",IF('Facility Information'!$E$28&gt;0,"",IF('Facility Information'!$D$24="YES",IF('Facility Processes'!K14="",D34*F34,'Facility Processes'!K14*D34*F34),"")))</f>
      </c>
      <c r="L34" s="54">
        <f>IF('Facility Processes'!C14="","",IF('Facility Information'!$E$29&gt;0,"",IF('Facility Information'!$C$28&gt;0,'Facility Information'!$C$28*F34/2000,IF('Facility Information'!$C$29&gt;0,'Facility Information'!$C$29*365*F34/2000,IF('Facility Information'!$C$30&gt;0,'Facility Information'!$C$30*365*'Emission Calculations'!F34*'Emission Calculations'!D34/2000,IF('Facility Information'!$E$28&gt;0,"",IF(K34="",D34*F34*8760/2000,K34*8760/2000)))))))</f>
      </c>
      <c r="M34" s="54">
        <f>IF('Facility Processes'!C14="","",'Facility Processes'!H14*F34/2000)</f>
      </c>
    </row>
    <row r="35" spans="1:13" ht="15">
      <c r="A35" s="11">
        <f>IF('Facility Processes'!B19="","",'Facility Processes'!B19)</f>
      </c>
      <c r="B35" s="12">
        <f>IF('Facility Processes'!G19="","",'Facility Processes'!C19)</f>
      </c>
      <c r="C35" s="12">
        <f>IF('Facility Processes'!B19="","",IF('Facility Information'!$D$24="Yes",LOOKUP('Facility Processes'!C19,'Emission Factors'!$A$17:$A$24,'Emission Factors'!$B$17:$B$24),IF('Facility Information'!$D$24="No",LOOKUP('Facility Processes'!C19,'Emission Factors'!$A$5:$A$13,'Emission Factors'!$B$5:$B$13))))</f>
      </c>
      <c r="D35" s="11">
        <f>IF('Facility Processes'!G19="","",'Facility Processes'!G19)</f>
      </c>
      <c r="E35" s="11">
        <f>IF('Facility Processes'!G19="","","acre/day")</f>
      </c>
      <c r="F35" s="53">
        <f>IF('Facility Processes'!B19="","",IF('Facility Information'!$D$24="Yes",LOOKUP('Facility Processes'!C19,'Emission Factors'!$A$17:$A$24,'Emission Factors'!$F$17:$F$24),IF('Facility Information'!$D$24="No",LOOKUP('Facility Processes'!C19,'Emission Factors'!$A$5:$A$13,'Emission Factors'!$F$5:$F$13))))</f>
      </c>
      <c r="G35" s="11">
        <f>IF('Facility Processes'!B19="","",IF('Facility Information'!$D$24="Yes",LOOKUP('Facility Processes'!C19,'Emission Factors'!$A$17:$A$24,'Emission Factors'!$G$17:$G$24),IF('Facility Information'!$D$24="No",LOOKUP('Facility Processes'!C19,'Emission Factors'!$A$5:$A$13,'Emission Factors'!$G$5:$G$13))))</f>
      </c>
      <c r="H35" s="108">
        <f>IF('Facility Processes'!B19="","","WebFIRE")</f>
      </c>
      <c r="I35" s="54">
        <f>IF('Facility Processes'!G19="","",'Facility Processes'!G19*F35*(1/24))</f>
      </c>
      <c r="J35" s="11"/>
      <c r="K35" s="54"/>
      <c r="L35" s="54">
        <f>IF('Facility Processes'!G19="","",'Facility Processes'!G19*F35*365/2000)</f>
      </c>
      <c r="M35" s="54">
        <f>IF('Facility Processes'!G19="","",'Facility Processes'!H19*'Facility Processes'!I19*F35/2000)</f>
      </c>
    </row>
    <row r="36" spans="1:13" ht="15">
      <c r="A36" s="11">
        <f>IF('Facility Processes'!B24="","",'Facility Processes'!B24)</f>
      </c>
      <c r="B36" s="43">
        <f>IF('Facility Processes'!G24="","",'Facility Processes'!C24)</f>
      </c>
      <c r="C36" s="12">
        <f>IF('Facility Processes'!$G$24="","","30202054")</f>
      </c>
      <c r="D36" s="54">
        <f>IF(F36="","",'Facility Processes'!$D$29*'Facility Processes'!$K$24/8760)</f>
      </c>
      <c r="E36" s="11">
        <f>IF(F36="","","vmt/hr")</f>
      </c>
      <c r="F36" s="53">
        <f>IF('Facility Processes'!$G$24="","",(1.5*(('Facility Processes'!$D$31/12)^0.9)*(('Facility Processes'!$D$27/3)^0.45)*((365-'Facility Processes'!$D$32)/365)))</f>
      </c>
      <c r="G36" s="11">
        <f>IF(F36="","","lb/vmt")</f>
      </c>
      <c r="H36" s="108">
        <f>IF(F36="","","AP-42 Ch 13.2.2")</f>
      </c>
      <c r="I36" s="54">
        <f>IF(F36="","",L36/((100-J36)/100)*2000/8760)</f>
      </c>
      <c r="J36" s="11">
        <f>IF('Facility Processes'!G24="","",IF('Facility Processes'!D33="NO","",40))</f>
      </c>
      <c r="K36" s="54">
        <f>IF(J36="","",L36*2000/8760)</f>
      </c>
      <c r="L36" s="54">
        <f>IF(F36="","",IF(J36="",F36*'Facility Processes'!$D$29*'Facility Processes'!$K$24/2000,F36*'Facility Processes'!$D$29*'Facility Processes'!$K$24/2000*(100-J36)/100))</f>
      </c>
      <c r="M36" s="54">
        <f>IF(F36="","",IF(J36="",'Facility Processes'!$D$30*'Facility Processes'!$K$24*F36/2000,'Facility Processes'!$D$30*'Facility Processes'!$K$24*F36/2000*((100-J36)/100)))</f>
      </c>
    </row>
    <row r="37" spans="1:13" ht="15">
      <c r="A37" s="11">
        <f>IF('Facility Processes'!B38="","",'Facility Processes'!B38)</f>
      </c>
      <c r="B37" s="43">
        <f>IF('Facility Processes'!B38="","",'Facility Processes'!C38)</f>
      </c>
      <c r="C37" s="12">
        <f>IF('Facility Processes'!$G$38="","","30202054")</f>
      </c>
      <c r="D37" s="54">
        <f>IF(F37="","",'Facility Processes'!$D$43*'Facility Processes'!$K$38/8760)</f>
      </c>
      <c r="E37" s="11">
        <f>IF(F37="","","vmt/hr")</f>
      </c>
      <c r="F37" s="53">
        <f>IF('Facility Processes'!$G$38="","",(0.0022*('Facility Processes'!$D$45^0.91)*('Facility Processes'!$D$41^1.02))*((1-('Facility Processes'!$D$46)/1460)))</f>
      </c>
      <c r="G37" s="11">
        <f>IF(F37="","","lb/vmt")</f>
      </c>
      <c r="H37" s="108">
        <f>IF(F37="","","AP-42 Ch 13.2.1")</f>
      </c>
      <c r="I37" s="54">
        <f>IF(F37="","",L37*2000/8760)</f>
      </c>
      <c r="J37" s="11"/>
      <c r="K37" s="54"/>
      <c r="L37" s="54">
        <f>IF(F37="","",F37*'Facility Processes'!$D$43*'Facility Processes'!$K$38/2000)</f>
      </c>
      <c r="M37" s="54">
        <f>IF(F37="","",'Facility Processes'!$D$44*'Facility Processes'!$K$38*F37/2000)</f>
      </c>
    </row>
    <row r="38" spans="1:13" ht="15">
      <c r="A38" s="11">
        <f>IF('Permitted Diesel Engines'!A9="","",'Permitted Diesel Engines'!A9)</f>
      </c>
      <c r="B38" s="43">
        <f>IF('Permitted Diesel Engines'!C9="","",'Permitted Diesel Engines'!C9)</f>
      </c>
      <c r="C38" s="12">
        <f>IF('Permitted Diesel Engines'!C9="","",LOOKUP('Permitted Diesel Engines'!C9,'Emission Factors'!$A$42:$A$43,'Emission Factors'!$B$42:$B$43))</f>
      </c>
      <c r="D38" s="11">
        <f>IF('Permitted Diesel Engines'!C9="","",'Permitted Diesel Engines'!K9)</f>
      </c>
      <c r="E38" s="11">
        <f>IF('Permitted Diesel Engines'!C9="","","MMBtu/hr")</f>
      </c>
      <c r="F38" s="53">
        <f>IF('Permitted Diesel Engines'!C9="","",LOOKUP('Permitted Diesel Engines'!C9,'Emission Factors'!$A$42:$A$43,'Emission Factors'!$F$42:$F$43))</f>
      </c>
      <c r="G38" s="11">
        <f>IF('Permitted Diesel Engines'!C9="","",LOOKUP('Permitted Diesel Engines'!C9,'Emission Factors'!$A$42:$A$43,'Emission Factors'!$C$42:$C$43))</f>
      </c>
      <c r="H38" s="108">
        <f>IF('Permitted Diesel Engines'!C9="","",LOOKUP('Permitted Diesel Engines'!C9,'Emission Factors'!$A$42:$A$43,'Emission Factors'!$G$42:$G$43))</f>
      </c>
      <c r="I38" s="54">
        <f>IF('Permitted Diesel Engines'!C9="","",D38*F38)</f>
      </c>
      <c r="J38" s="63"/>
      <c r="K38" s="54"/>
      <c r="L38" s="54">
        <f>IF(F38="","",IF('Permitted Diesel Engines'!D3&gt;0,IF('Permitted Diesel Engines'!N11&gt;0,'Permitted Diesel Engines'!D3*0.14*'Emission Factors'!F42/2000,'Permitted Diesel Engines'!D3*0.14*'Emission Factors'!F43/2000),IF('Permitted Diesel Engines'!E9&gt;0,'Permitted Diesel Engines'!E9*'Emission Calculations'!F38*D38/2000,'Emission Calculations'!I38*8760/2000)))</f>
      </c>
      <c r="M38" s="54">
        <f>IF('Permitted Diesel Engines'!C9="","",'Permitted Diesel Engines'!L9*0.14*'Emission Calculations'!F38/2000)</f>
      </c>
    </row>
    <row r="39" spans="1:13" ht="15">
      <c r="A39" s="11">
        <f>IF('Permitted Diesel Engines'!A10="","",'Permitted Diesel Engines'!A10)</f>
      </c>
      <c r="B39" s="43">
        <f>IF('Permitted Diesel Engines'!C10="","",'Permitted Diesel Engines'!C10)</f>
      </c>
      <c r="C39" s="12">
        <f>IF('Permitted Diesel Engines'!C10="","",LOOKUP('Permitted Diesel Engines'!C10,'Emission Factors'!$A$42:$A$43,'Emission Factors'!$B$42:$B$43))</f>
      </c>
      <c r="D39" s="11">
        <f>IF('Permitted Diesel Engines'!C10="","",'Permitted Diesel Engines'!K10)</f>
      </c>
      <c r="E39" s="11">
        <f>IF('Permitted Diesel Engines'!C10="","","MMBtu/hr")</f>
      </c>
      <c r="F39" s="53">
        <f>IF('Permitted Diesel Engines'!C10="","",LOOKUP('Permitted Diesel Engines'!C10,'Emission Factors'!$A$42:$A$43,'Emission Factors'!$F$42:$F$43))</f>
      </c>
      <c r="G39" s="11">
        <f>IF('Permitted Diesel Engines'!C10="","",LOOKUP('Permitted Diesel Engines'!C10,'Emission Factors'!$A$42:$A$43,'Emission Factors'!$C$42:$C$43))</f>
      </c>
      <c r="H39" s="108">
        <f>IF('Permitted Diesel Engines'!C10="","",LOOKUP('Permitted Diesel Engines'!C10,'Emission Factors'!$A$42:$A$43,'Emission Factors'!$G$42:$G$43))</f>
      </c>
      <c r="I39" s="54">
        <f>IF('Permitted Diesel Engines'!C10="","",D39*F39)</f>
      </c>
      <c r="J39" s="63"/>
      <c r="K39" s="54"/>
      <c r="L39" s="54">
        <f>IF(F39="","",IF('Permitted Diesel Engines'!$D$3&gt;0,"",IF('Permitted Diesel Engines'!E9&gt;0,'Permitted Diesel Engines'!E9*'Emission Calculations'!F39*D39/2000,'Emission Calculations'!I39*8760/2000)))</f>
      </c>
      <c r="M39" s="54">
        <f>IF('Permitted Diesel Engines'!C10="","",'Permitted Diesel Engines'!L10*0.14*'Emission Calculations'!F39/2000)</f>
      </c>
    </row>
    <row r="40" spans="1:13" ht="15">
      <c r="A40" s="11">
        <f>IF('Permitted Diesel Engines'!A11="","",'Permitted Diesel Engines'!A11)</f>
      </c>
      <c r="B40" s="43">
        <f>IF('Permitted Diesel Engines'!C11="","",'Permitted Diesel Engines'!C11)</f>
      </c>
      <c r="C40" s="12">
        <f>IF('Permitted Diesel Engines'!C11="","",LOOKUP('Permitted Diesel Engines'!C11,'Emission Factors'!$A$42:$A$43,'Emission Factors'!$B$42:$B$43))</f>
      </c>
      <c r="D40" s="11">
        <f>IF('Permitted Diesel Engines'!C11="","",'Permitted Diesel Engines'!K11)</f>
      </c>
      <c r="E40" s="11">
        <f>IF('Permitted Diesel Engines'!C11="","","MMBtu/hr")</f>
      </c>
      <c r="F40" s="53">
        <f>IF('Permitted Diesel Engines'!C11="","",LOOKUP('Permitted Diesel Engines'!C11,'Emission Factors'!$A$42:$A$43,'Emission Factors'!$F$42:$F$43))</f>
      </c>
      <c r="G40" s="11">
        <f>IF('Permitted Diesel Engines'!C11="","",LOOKUP('Permitted Diesel Engines'!C11,'Emission Factors'!$A$42:$A$43,'Emission Factors'!$C$42:$C$43))</f>
      </c>
      <c r="H40" s="108">
        <f>IF('Permitted Diesel Engines'!C11="","",LOOKUP('Permitted Diesel Engines'!C11,'Emission Factors'!$A$42:$A$43,'Emission Factors'!$G$42:$G$43))</f>
      </c>
      <c r="I40" s="54">
        <f>IF('Permitted Diesel Engines'!C11="","",D40*F40)</f>
      </c>
      <c r="J40" s="63"/>
      <c r="K40" s="54"/>
      <c r="L40" s="54">
        <f>IF(F40="","",IF('Permitted Diesel Engines'!$D$3&gt;0,"",IF('Permitted Diesel Engines'!E10&gt;0,'Permitted Diesel Engines'!E10*'Emission Calculations'!F40*D40/2000,'Emission Calculations'!I40*8760/2000)))</f>
      </c>
      <c r="M40" s="54">
        <f>IF('Permitted Diesel Engines'!C11="","",'Permitted Diesel Engines'!L11*0.14*'Emission Calculations'!F40/2000)</f>
      </c>
    </row>
    <row r="41" spans="1:13" ht="15">
      <c r="A41" s="11">
        <f>IF('Permitted Diesel Engines'!A12="","",'Permitted Diesel Engines'!A12)</f>
      </c>
      <c r="B41" s="43">
        <f>IF('Permitted Diesel Engines'!C12="","",'Permitted Diesel Engines'!C12)</f>
      </c>
      <c r="C41" s="12">
        <f>IF('Permitted Diesel Engines'!C12="","",LOOKUP('Permitted Diesel Engines'!C12,'Emission Factors'!$A$42:$A$43,'Emission Factors'!$B$42:$B$43))</f>
      </c>
      <c r="D41" s="11">
        <f>IF('Permitted Diesel Engines'!C12="","",'Permitted Diesel Engines'!K12)</f>
      </c>
      <c r="E41" s="11">
        <f>IF('Permitted Diesel Engines'!C12="","","MMBtu/hr")</f>
      </c>
      <c r="F41" s="53">
        <f>IF('Permitted Diesel Engines'!C12="","",LOOKUP('Permitted Diesel Engines'!C12,'Emission Factors'!$A$42:$A$43,'Emission Factors'!$F$42:$F$43))</f>
      </c>
      <c r="G41" s="11">
        <f>IF('Permitted Diesel Engines'!C12="","",LOOKUP('Permitted Diesel Engines'!C12,'Emission Factors'!$A$42:$A$43,'Emission Factors'!$C$42:$C$43))</f>
      </c>
      <c r="H41" s="108">
        <f>IF('Permitted Diesel Engines'!C12="","",LOOKUP('Permitted Diesel Engines'!C12,'Emission Factors'!$A$42:$A$43,'Emission Factors'!$G$42:$G$43))</f>
      </c>
      <c r="I41" s="54">
        <f>IF('Permitted Diesel Engines'!C12="","",D41*F41)</f>
      </c>
      <c r="J41" s="63"/>
      <c r="K41" s="54"/>
      <c r="L41" s="54">
        <f>IF(F41="","",IF('Permitted Diesel Engines'!$D$3&gt;0,"",IF('Permitted Diesel Engines'!E11&gt;0,'Permitted Diesel Engines'!E11*'Emission Calculations'!F41*D41/2000,'Emission Calculations'!I41*8760/2000)))</f>
      </c>
      <c r="M41" s="54">
        <f>IF('Permitted Diesel Engines'!C12="","",'Permitted Diesel Engines'!L12*0.14*'Emission Calculations'!F41/2000)</f>
      </c>
    </row>
    <row r="42" spans="1:13" ht="15">
      <c r="A42" s="11">
        <f>IF('Permitted Diesel Engines'!A13="","",'Permitted Diesel Engines'!A13)</f>
      </c>
      <c r="B42" s="43">
        <f>IF('Permitted Diesel Engines'!C13="","",'Permitted Diesel Engines'!C13)</f>
      </c>
      <c r="C42" s="12">
        <f>IF('Permitted Diesel Engines'!C13="","",LOOKUP('Permitted Diesel Engines'!C13,'Emission Factors'!$A$42:$A$43,'Emission Factors'!$B$42:$B$43))</f>
      </c>
      <c r="D42" s="11">
        <f>IF('Permitted Diesel Engines'!C13="","",'Permitted Diesel Engines'!K13)</f>
      </c>
      <c r="E42" s="11">
        <f>IF('Permitted Diesel Engines'!C13="","","MMBtu/hr")</f>
      </c>
      <c r="F42" s="53">
        <f>IF('Permitted Diesel Engines'!C13="","",LOOKUP('Permitted Diesel Engines'!C13,'Emission Factors'!$A$42:$A$43,'Emission Factors'!$F$42:$F$43))</f>
      </c>
      <c r="G42" s="11">
        <f>IF('Permitted Diesel Engines'!C13="","",LOOKUP('Permitted Diesel Engines'!C13,'Emission Factors'!$A$42:$A$43,'Emission Factors'!$C$42:$C$43))</f>
      </c>
      <c r="H42" s="108">
        <f>IF('Permitted Diesel Engines'!C13="","",LOOKUP('Permitted Diesel Engines'!C13,'Emission Factors'!$A$42:$A$43,'Emission Factors'!$G$42:$G$43))</f>
      </c>
      <c r="I42" s="54">
        <f>IF('Permitted Diesel Engines'!C13="","",D42*F42)</f>
      </c>
      <c r="J42" s="63"/>
      <c r="K42" s="54"/>
      <c r="L42" s="54">
        <f>IF(F42="","",IF('Permitted Diesel Engines'!$D$3&gt;0,"",IF('Permitted Diesel Engines'!E12&gt;0,'Permitted Diesel Engines'!E12*'Emission Calculations'!F42*D42/2000,'Emission Calculations'!I42*8760/2000)))</f>
      </c>
      <c r="M42" s="54">
        <f>IF('Permitted Diesel Engines'!C13="","",'Permitted Diesel Engines'!L13*0.14*'Emission Calculations'!F42/2000)</f>
      </c>
    </row>
    <row r="43" spans="1:13" ht="15">
      <c r="A43" s="10"/>
      <c r="B43" s="9"/>
      <c r="C43" s="9"/>
      <c r="D43" s="10"/>
      <c r="E43" s="10"/>
      <c r="F43" s="10"/>
      <c r="G43" s="10"/>
      <c r="H43" s="10"/>
      <c r="I43" s="15"/>
      <c r="J43" s="10"/>
      <c r="K43" s="16" t="s">
        <v>39</v>
      </c>
      <c r="L43" s="54">
        <f>SUM(L27:L42)</f>
        <v>0</v>
      </c>
      <c r="M43" s="54">
        <f>SUM(M27:M42)</f>
        <v>0</v>
      </c>
    </row>
    <row r="44" spans="1:13" ht="15">
      <c r="A44" s="10"/>
      <c r="B44" s="9"/>
      <c r="C44" s="9"/>
      <c r="D44" s="10"/>
      <c r="E44" s="10"/>
      <c r="F44" s="10"/>
      <c r="G44" s="10"/>
      <c r="H44" s="10"/>
      <c r="I44" s="15"/>
      <c r="J44" s="10"/>
      <c r="K44" s="17"/>
      <c r="L44" s="13"/>
      <c r="M44" s="13"/>
    </row>
    <row r="45" spans="1:13" ht="15">
      <c r="A45" s="10"/>
      <c r="B45" s="9"/>
      <c r="C45" s="9"/>
      <c r="D45" s="10"/>
      <c r="E45" s="10"/>
      <c r="F45" s="10"/>
      <c r="G45" s="10"/>
      <c r="H45" s="10"/>
      <c r="I45" s="157" t="s">
        <v>168</v>
      </c>
      <c r="J45" s="10"/>
      <c r="K45" s="157" t="s">
        <v>169</v>
      </c>
      <c r="L45" s="157" t="s">
        <v>22</v>
      </c>
      <c r="M45" s="157" t="s">
        <v>26</v>
      </c>
    </row>
    <row r="46" spans="1:13" ht="15" customHeight="1">
      <c r="A46" s="185" t="s">
        <v>19</v>
      </c>
      <c r="B46" s="157" t="s">
        <v>20</v>
      </c>
      <c r="C46" s="185" t="s">
        <v>17</v>
      </c>
      <c r="D46" s="157" t="s">
        <v>18</v>
      </c>
      <c r="E46" s="160" t="s">
        <v>55</v>
      </c>
      <c r="F46" s="157" t="s">
        <v>21</v>
      </c>
      <c r="G46" s="160" t="s">
        <v>55</v>
      </c>
      <c r="H46" s="168" t="s">
        <v>170</v>
      </c>
      <c r="I46" s="157"/>
      <c r="J46" s="157" t="s">
        <v>23</v>
      </c>
      <c r="K46" s="157"/>
      <c r="L46" s="157"/>
      <c r="M46" s="157"/>
    </row>
    <row r="47" spans="1:13" ht="15">
      <c r="A47" s="185"/>
      <c r="B47" s="157"/>
      <c r="C47" s="185"/>
      <c r="D47" s="157"/>
      <c r="E47" s="161"/>
      <c r="F47" s="157"/>
      <c r="G47" s="161"/>
      <c r="H47" s="170"/>
      <c r="I47" s="157"/>
      <c r="J47" s="157"/>
      <c r="K47" s="157"/>
      <c r="L47" s="157"/>
      <c r="M47" s="157"/>
    </row>
    <row r="48" spans="1:13" ht="15.75">
      <c r="A48" s="184" t="s">
        <v>11</v>
      </c>
      <c r="B48" s="184"/>
      <c r="C48" s="9"/>
      <c r="D48" s="10"/>
      <c r="E48" s="10"/>
      <c r="F48" s="10"/>
      <c r="G48" s="10"/>
      <c r="H48" s="10"/>
      <c r="I48" s="15"/>
      <c r="J48" s="10"/>
      <c r="K48" s="13"/>
      <c r="L48" s="13"/>
      <c r="M48" s="13"/>
    </row>
    <row r="49" spans="1:13" ht="15">
      <c r="A49" s="18">
        <f>IF('Permitted Diesel Engines'!A9="","",'Permitted Diesel Engines'!A9)</f>
      </c>
      <c r="B49" s="12">
        <f>IF('Permitted Diesel Engines'!C9="","",'Permitted Diesel Engines'!C9)</f>
      </c>
      <c r="C49" s="11">
        <f>IF('Permitted Diesel Engines'!C9="","",LOOKUP('Permitted Diesel Engines'!C9,'Emission Factors'!$A$42:$A$43,'Emission Factors'!$B$42:$B$43))</f>
      </c>
      <c r="D49" s="11">
        <f>IF('Permitted Diesel Engines'!C9="","",'Permitted Diesel Engines'!K9)</f>
      </c>
      <c r="E49" s="11">
        <f>IF('Permitted Diesel Engines'!C9="","","MMBtu/hr")</f>
      </c>
      <c r="F49" s="11">
        <f>IF('Permitted Diesel Engines'!C9="","",LOOKUP('Permitted Diesel Engines'!C9,'Emission Factors'!$A$42:$A$43,'Emission Factors'!$H$42:$H$43))</f>
      </c>
      <c r="G49" s="11">
        <f>IF('Permitted Diesel Engines'!C9="","",LOOKUP('Permitted Diesel Engines'!C9,'Emission Factors'!$A$42:$A$43,'Emission Factors'!$C$42:$C$43))</f>
      </c>
      <c r="H49" s="108">
        <f>IF('Permitted Diesel Engines'!C9="","",LOOKUP('Permitted Diesel Engines'!C9,'Emission Factors'!$A$42:$A$43,'Emission Factors'!$I$42:$I$43))</f>
      </c>
      <c r="I49" s="14">
        <f>IF('Permitted Diesel Engines'!C9="","",IF(F49='Emission Factors'!$H$42,D49*F49,'Emission Calculations'!D49*'Emission Calculations'!F49*$F$54))</f>
      </c>
      <c r="J49" s="11"/>
      <c r="K49" s="54"/>
      <c r="L49" s="68">
        <f>IF(F49="","",IF('Permitted Diesel Engines'!D3&gt;0,IF('Permitted Diesel Engines'!N12&gt;0,'Permitted Diesel Engines'!D3*0.14*'Emission Factors'!H43*F54/2000,'Permitted Diesel Engines'!D3*0.14*'Emission Factors'!H42/2000),IF('Permitted Diesel Engines'!E9&gt;0,'Permitted Diesel Engines'!E9*'Emission Calculations'!F49*D49/2000,'Emission Calculations'!I49*8760/2000)))</f>
      </c>
      <c r="M49" s="54">
        <f>IF('Permitted Diesel Engines'!C9="","",'Permitted Diesel Engines'!L9*0.14*'Permitted Diesel Engines'!D5*$F$54/2000)</f>
      </c>
    </row>
    <row r="50" spans="1:13" ht="15">
      <c r="A50" s="18">
        <f>IF('Permitted Diesel Engines'!A10="","",'Permitted Diesel Engines'!A10)</f>
      </c>
      <c r="B50" s="12">
        <f>IF('Permitted Diesel Engines'!C10="","",'Permitted Diesel Engines'!C10)</f>
      </c>
      <c r="C50" s="11">
        <f>IF('Permitted Diesel Engines'!C10="","",LOOKUP('Permitted Diesel Engines'!C10,'Emission Factors'!$A$42:$A$43,'Emission Factors'!$B$42:$B$43))</f>
      </c>
      <c r="D50" s="11">
        <f>IF('Permitted Diesel Engines'!C10="","",'Permitted Diesel Engines'!K10)</f>
      </c>
      <c r="E50" s="11">
        <f>IF('Permitted Diesel Engines'!C10="","","MMBtu/hr")</f>
      </c>
      <c r="F50" s="11">
        <f>IF('Permitted Diesel Engines'!C10="","",LOOKUP('Permitted Diesel Engines'!C10,'Emission Factors'!$A$42:$A$43,'Emission Factors'!$H$42:$H$43))</f>
      </c>
      <c r="G50" s="11">
        <f>IF('Permitted Diesel Engines'!C10="","",LOOKUP('Permitted Diesel Engines'!C10,'Emission Factors'!$A$42:$A$43,'Emission Factors'!$C$42:$C$43))</f>
      </c>
      <c r="H50" s="108">
        <f>IF('Permitted Diesel Engines'!C10="","",LOOKUP('Permitted Diesel Engines'!C10,'Emission Factors'!$A$42:$A$43,'Emission Factors'!$I$42:$I$43))</f>
      </c>
      <c r="I50" s="14">
        <f>IF('Permitted Diesel Engines'!C10="","",IF(F50='Emission Factors'!$H$42,D50*F50,'Emission Calculations'!D50*'Emission Calculations'!F50*$F$54))</f>
      </c>
      <c r="J50" s="11"/>
      <c r="K50" s="54"/>
      <c r="L50" s="54">
        <f>IF(F50="","",IF('Permitted Diesel Engines'!$D$3&gt;0,"",IF('Permitted Diesel Engines'!E10&gt;0,IF(F50='Emission Factors'!$H$42,'Permitted Diesel Engines'!E10*'Emission Calculations'!F50*'Emission Calculations'!D50/2000,'Permitted Diesel Engines'!E10*'Emission Calculations'!F50*'Emission Calculations'!$F$54*'Emission Calculations'!D50/2000),'Emission Calculations'!I50*8760/2000)))</f>
      </c>
      <c r="M50" s="54">
        <f>IF('Permitted Diesel Engines'!C10="","",'Permitted Diesel Engines'!L10*0.14*'Permitted Diesel Engines'!D5*$F$54/2000)</f>
      </c>
    </row>
    <row r="51" spans="1:13" ht="15">
      <c r="A51" s="18">
        <f>IF('Permitted Diesel Engines'!A11="","",'Permitted Diesel Engines'!A11)</f>
      </c>
      <c r="B51" s="12">
        <f>IF('Permitted Diesel Engines'!C11="","",'Permitted Diesel Engines'!C11)</f>
      </c>
      <c r="C51" s="11">
        <f>IF('Permitted Diesel Engines'!C11="","",LOOKUP('Permitted Diesel Engines'!C11,'Emission Factors'!$A$42:$A$43,'Emission Factors'!$B$42:$B$43))</f>
      </c>
      <c r="D51" s="11">
        <f>IF('Permitted Diesel Engines'!C11="","",'Permitted Diesel Engines'!K11)</f>
      </c>
      <c r="E51" s="11">
        <f>IF('Permitted Diesel Engines'!C11="","","MMBtu/hr")</f>
      </c>
      <c r="F51" s="11">
        <f>IF('Permitted Diesel Engines'!C11="","",LOOKUP('Permitted Diesel Engines'!C11,'Emission Factors'!$A$42:$A$43,'Emission Factors'!$H$42:$H$43))</f>
      </c>
      <c r="G51" s="11">
        <f>IF('Permitted Diesel Engines'!C11="","",LOOKUP('Permitted Diesel Engines'!C11,'Emission Factors'!$A$42:$A$43,'Emission Factors'!$C$42:$C$43))</f>
      </c>
      <c r="H51" s="108">
        <f>IF('Permitted Diesel Engines'!C11="","",LOOKUP('Permitted Diesel Engines'!C11,'Emission Factors'!$A$42:$A$43,'Emission Factors'!$I$42:$I$43))</f>
      </c>
      <c r="I51" s="14">
        <f>IF('Permitted Diesel Engines'!C11="","",IF(F51='Emission Factors'!$H$42,D51*F51,'Emission Calculations'!D51*'Emission Calculations'!F51*$F$54))</f>
      </c>
      <c r="J51" s="11"/>
      <c r="K51" s="54"/>
      <c r="L51" s="54">
        <f>IF(F51="","",IF('Permitted Diesel Engines'!$D$3&gt;0,"",IF('Permitted Diesel Engines'!E11&gt;0,IF(F51='Emission Factors'!$H$42,'Permitted Diesel Engines'!E11*'Emission Calculations'!F51*'Emission Calculations'!D51/2000,'Permitted Diesel Engines'!E11*'Emission Calculations'!F51*'Emission Calculations'!$F$54*'Emission Calculations'!D51/2000),'Emission Calculations'!I51*8760/2000)))</f>
      </c>
      <c r="M51" s="54">
        <f>IF('Permitted Diesel Engines'!C11="","",'Permitted Diesel Engines'!L11*0.14*'Permitted Diesel Engines'!D5*$F$54/2000)</f>
      </c>
    </row>
    <row r="52" spans="1:13" ht="15">
      <c r="A52" s="18">
        <f>IF('Permitted Diesel Engines'!A12="","",'Permitted Diesel Engines'!A12)</f>
      </c>
      <c r="B52" s="12">
        <f>IF('Permitted Diesel Engines'!C12="","",'Permitted Diesel Engines'!C12)</f>
      </c>
      <c r="C52" s="11">
        <f>IF('Permitted Diesel Engines'!C12="","",LOOKUP('Permitted Diesel Engines'!C12,'Emission Factors'!$A$42:$A$43,'Emission Factors'!$B$42:$B$43))</f>
      </c>
      <c r="D52" s="11">
        <f>IF('Permitted Diesel Engines'!C12="","",'Permitted Diesel Engines'!K12)</f>
      </c>
      <c r="E52" s="11">
        <f>IF('Permitted Diesel Engines'!C12="","","MMBtu/hr")</f>
      </c>
      <c r="F52" s="11">
        <f>IF('Permitted Diesel Engines'!C12="","",LOOKUP('Permitted Diesel Engines'!C12,'Emission Factors'!$A$42:$A$43,'Emission Factors'!$H$42:$H$43))</f>
      </c>
      <c r="G52" s="11">
        <f>IF('Permitted Diesel Engines'!C12="","",LOOKUP('Permitted Diesel Engines'!C12,'Emission Factors'!$A$42:$A$43,'Emission Factors'!$C$42:$C$43))</f>
      </c>
      <c r="H52" s="108">
        <f>IF('Permitted Diesel Engines'!C12="","",LOOKUP('Permitted Diesel Engines'!C12,'Emission Factors'!$A$42:$A$43,'Emission Factors'!$I$42:$I$43))</f>
      </c>
      <c r="I52" s="14">
        <f>IF('Permitted Diesel Engines'!C12="","",IF(F52='Emission Factors'!$H$42,D52*F52,'Emission Calculations'!D52*'Emission Calculations'!F52*$F$54))</f>
      </c>
      <c r="J52" s="11"/>
      <c r="K52" s="54"/>
      <c r="L52" s="54">
        <f>IF(F52="","",IF('Permitted Diesel Engines'!$D$3&gt;0,"",IF('Permitted Diesel Engines'!E12&gt;0,IF(F52='Emission Factors'!$H$42,'Permitted Diesel Engines'!E12*'Emission Calculations'!F52*'Emission Calculations'!D52/2000,'Permitted Diesel Engines'!E12*'Emission Calculations'!F52*'Emission Calculations'!$F$54*'Emission Calculations'!D52/2000),'Emission Calculations'!I52*8760/2000)))</f>
      </c>
      <c r="M52" s="54">
        <f>IF('Permitted Diesel Engines'!C12="","",'Permitted Diesel Engines'!L12*0.14*'Permitted Diesel Engines'!D5*$F$54/2000)</f>
      </c>
    </row>
    <row r="53" spans="1:13" ht="15">
      <c r="A53" s="18">
        <f>IF('Permitted Diesel Engines'!A13="","",'Permitted Diesel Engines'!A13)</f>
      </c>
      <c r="B53" s="12">
        <f>IF('Permitted Diesel Engines'!C13="","",'Permitted Diesel Engines'!C13)</f>
      </c>
      <c r="C53" s="11">
        <f>IF('Permitted Diesel Engines'!C13="","",LOOKUP('Permitted Diesel Engines'!C13,'Emission Factors'!$A$42:$A$43,'Emission Factors'!$B$42:$B$43))</f>
      </c>
      <c r="D53" s="11">
        <f>IF('Permitted Diesel Engines'!C13="","",'Permitted Diesel Engines'!K13)</f>
      </c>
      <c r="E53" s="11">
        <f>IF('Permitted Diesel Engines'!C13="","","MMBtu/hr")</f>
      </c>
      <c r="F53" s="11">
        <f>IF('Permitted Diesel Engines'!C13="","",LOOKUP('Permitted Diesel Engines'!C13,'Emission Factors'!$A$42:$A$43,'Emission Factors'!$H$42:$H$43))</f>
      </c>
      <c r="G53" s="11">
        <f>IF('Permitted Diesel Engines'!C13="","",LOOKUP('Permitted Diesel Engines'!C13,'Emission Factors'!$A$42:$A$43,'Emission Factors'!$C$42:$C$43))</f>
      </c>
      <c r="H53" s="108">
        <f>IF('Permitted Diesel Engines'!C13="","",LOOKUP('Permitted Diesel Engines'!C13,'Emission Factors'!$A$42:$A$43,'Emission Factors'!$I$42:$I$43))</f>
      </c>
      <c r="I53" s="14">
        <f>IF('Permitted Diesel Engines'!C13="","",IF(F53='Emission Factors'!$H$42,D53*F53,'Emission Calculations'!D53*'Emission Calculations'!F53*$F$54))</f>
      </c>
      <c r="J53" s="11"/>
      <c r="K53" s="54"/>
      <c r="L53" s="54">
        <f>IF(F53="","",IF('Permitted Diesel Engines'!$D$3&gt;0,"",IF('Permitted Diesel Engines'!E13&gt;0,IF(F53='Emission Factors'!$H$42,'Permitted Diesel Engines'!E13*'Emission Calculations'!F53*'Emission Calculations'!D53/2000,'Permitted Diesel Engines'!E13*'Emission Calculations'!F53*'Emission Calculations'!$F$54*'Emission Calculations'!D53/2000),'Emission Calculations'!I53*8760/2000)))</f>
      </c>
      <c r="M53" s="54">
        <f>IF('Permitted Diesel Engines'!C13="","",'Permitted Diesel Engines'!L13*0.14*'Permitted Diesel Engines'!D5*$F$54/2000)</f>
      </c>
    </row>
    <row r="54" spans="1:13" ht="15">
      <c r="A54" s="64"/>
      <c r="B54" s="22"/>
      <c r="C54" s="23"/>
      <c r="D54" s="183" t="s">
        <v>161</v>
      </c>
      <c r="E54" s="183"/>
      <c r="F54" s="11">
        <f>IF('Permitted Diesel Engines'!D4&gt;0,'Permitted Diesel Engines'!D4,IF('Permitted Diesel Engines'!D5&gt;0,'Permitted Diesel Engines'!D5,0.5))</f>
        <v>0.5</v>
      </c>
      <c r="H54" s="109"/>
      <c r="I54" s="65"/>
      <c r="J54" s="23"/>
      <c r="K54" s="16" t="s">
        <v>39</v>
      </c>
      <c r="L54" s="54">
        <f>SUM(L49:L53)</f>
        <v>0</v>
      </c>
      <c r="M54" s="54">
        <f>SUM(M49:M53)</f>
        <v>0</v>
      </c>
    </row>
    <row r="55" spans="1:13" ht="15.75">
      <c r="A55" s="181" t="s">
        <v>35</v>
      </c>
      <c r="B55" s="181"/>
      <c r="C55" s="9"/>
      <c r="D55" s="10"/>
      <c r="E55" s="10"/>
      <c r="F55" s="10"/>
      <c r="G55" s="10"/>
      <c r="H55" s="110"/>
      <c r="I55" s="15"/>
      <c r="J55" s="10"/>
      <c r="K55" s="13"/>
      <c r="L55" s="13"/>
      <c r="M55" s="13"/>
    </row>
    <row r="56" spans="1:13" ht="15">
      <c r="A56" s="18">
        <f>IF('Permitted Diesel Engines'!A9="","",'Permitted Diesel Engines'!A9)</f>
      </c>
      <c r="B56" s="12">
        <f>IF('Permitted Diesel Engines'!C9="","",'Permitted Diesel Engines'!C9)</f>
      </c>
      <c r="C56" s="11">
        <f>IF('Permitted Diesel Engines'!C9="","",LOOKUP('Permitted Diesel Engines'!C9,'Emission Factors'!$A$42:$A$43,'Emission Factors'!$B$42:$B$43))</f>
      </c>
      <c r="D56" s="11">
        <f>IF('Permitted Diesel Engines'!C9="","",'Permitted Diesel Engines'!K9)</f>
      </c>
      <c r="E56" s="11">
        <f>IF('Permitted Diesel Engines'!C9="","","MMBtu/hr")</f>
      </c>
      <c r="F56" s="11">
        <f>IF('Permitted Diesel Engines'!C9="","",LOOKUP('Permitted Diesel Engines'!C9,'Emission Factors'!$A$42:$A$43,'Emission Factors'!$J$42:$J$43))</f>
      </c>
      <c r="G56" s="11">
        <f>IF('Permitted Diesel Engines'!C9="","",LOOKUP('Permitted Diesel Engines'!C9,'Emission Factors'!$A$42:$A$43,'Emission Factors'!$C$42:$C$43))</f>
      </c>
      <c r="H56" s="108">
        <f>IF('Permitted Diesel Engines'!C9="","",LOOKUP('Permitted Diesel Engines'!C9,'Emission Factors'!$A$42:$A$43,'Emission Factors'!$K$42:$K$43))</f>
      </c>
      <c r="I56" s="14">
        <f>IF('Permitted Diesel Engines'!C9="","",D56*F56)</f>
      </c>
      <c r="J56" s="11"/>
      <c r="K56" s="54"/>
      <c r="L56" s="54">
        <f>IF(F56="","",IF('Permitted Diesel Engines'!D3&gt;0,IF('Permitted Diesel Engines'!N11&gt;0,'Permitted Diesel Engines'!D3*0.14*'Emission Factors'!J42/2000,'Permitted Diesel Engines'!D3*0.14*'Emission Factors'!J43/2000),IF('Permitted Diesel Engines'!E9&gt;0,'Permitted Diesel Engines'!E9*'Emission Calculations'!F56*D56/2000,'Emission Calculations'!I56*8760/2000)))</f>
      </c>
      <c r="M56" s="54">
        <f>IF('Permitted Diesel Engines'!C9="","",'Permitted Diesel Engines'!L9*0.14*'Emission Calculations'!F56/2000)</f>
      </c>
    </row>
    <row r="57" spans="1:13" ht="15">
      <c r="A57" s="18">
        <f>IF('Permitted Diesel Engines'!A10="","",'Permitted Diesel Engines'!A10)</f>
      </c>
      <c r="B57" s="12">
        <f>IF('Permitted Diesel Engines'!C10="","",'Permitted Diesel Engines'!C10)</f>
      </c>
      <c r="C57" s="11">
        <f>IF('Permitted Diesel Engines'!C10="","",LOOKUP('Permitted Diesel Engines'!C10,'Emission Factors'!$A$42:$A$43,'Emission Factors'!$B$42:$B$43))</f>
      </c>
      <c r="D57" s="11">
        <f>IF('Permitted Diesel Engines'!C10="","",'Permitted Diesel Engines'!K10)</f>
      </c>
      <c r="E57" s="11">
        <f>IF('Permitted Diesel Engines'!C10="","","MMBtu/hr")</f>
      </c>
      <c r="F57" s="11">
        <f>IF('Permitted Diesel Engines'!C10="","",LOOKUP('Permitted Diesel Engines'!C10,'Emission Factors'!$A$42:$A$43,'Emission Factors'!$J$42:$J$43))</f>
      </c>
      <c r="G57" s="11">
        <f>IF('Permitted Diesel Engines'!C10="","",LOOKUP('Permitted Diesel Engines'!C10,'Emission Factors'!$A$42:$A$43,'Emission Factors'!$C$42:$C$43))</f>
      </c>
      <c r="H57" s="108">
        <f>IF('Permitted Diesel Engines'!C10="","",LOOKUP('Permitted Diesel Engines'!C10,'Emission Factors'!$A$42:$A$43,'Emission Factors'!$K$42:$K$43))</f>
      </c>
      <c r="I57" s="14">
        <f>IF('Permitted Diesel Engines'!C10="","",D57*F57)</f>
      </c>
      <c r="J57" s="11"/>
      <c r="K57" s="54"/>
      <c r="L57" s="54">
        <f>IF(F57="","",IF('Permitted Diesel Engines'!$D$3&gt;0,"",IF('Permitted Diesel Engines'!E10&gt;0,'Permitted Diesel Engines'!E10*'Emission Calculations'!F57*D57/2000,'Emission Calculations'!I57*8760/2000)))</f>
      </c>
      <c r="M57" s="54">
        <f>IF('Permitted Diesel Engines'!C10="","",'Permitted Diesel Engines'!L10*0.14*'Emission Calculations'!F57/2000)</f>
      </c>
    </row>
    <row r="58" spans="1:13" ht="15">
      <c r="A58" s="18">
        <f>IF('Permitted Diesel Engines'!A11="","",'Permitted Diesel Engines'!A11)</f>
      </c>
      <c r="B58" s="12">
        <f>IF('Permitted Diesel Engines'!C11="","",'Permitted Diesel Engines'!C11)</f>
      </c>
      <c r="C58" s="11">
        <f>IF('Permitted Diesel Engines'!C11="","",LOOKUP('Permitted Diesel Engines'!C11,'Emission Factors'!$A$42:$A$43,'Emission Factors'!$B$42:$B$43))</f>
      </c>
      <c r="D58" s="11">
        <f>IF('Permitted Diesel Engines'!C11="","",'Permitted Diesel Engines'!K11)</f>
      </c>
      <c r="E58" s="11">
        <f>IF('Permitted Diesel Engines'!C11="","","MMBtu/hr")</f>
      </c>
      <c r="F58" s="11">
        <f>IF('Permitted Diesel Engines'!C11="","",LOOKUP('Permitted Diesel Engines'!C11,'Emission Factors'!$A$42:$A$43,'Emission Factors'!$J$42:$J$43))</f>
      </c>
      <c r="G58" s="11">
        <f>IF('Permitted Diesel Engines'!C11="","",LOOKUP('Permitted Diesel Engines'!C11,'Emission Factors'!$A$42:$A$43,'Emission Factors'!$C$42:$C$43))</f>
      </c>
      <c r="H58" s="108">
        <f>IF('Permitted Diesel Engines'!C11="","",LOOKUP('Permitted Diesel Engines'!C11,'Emission Factors'!$A$42:$A$43,'Emission Factors'!$K$42:$K$43))</f>
      </c>
      <c r="I58" s="14">
        <f>IF('Permitted Diesel Engines'!C11="","",D58*F58)</f>
      </c>
      <c r="J58" s="11"/>
      <c r="K58" s="54"/>
      <c r="L58" s="54">
        <f>IF(F58="","",IF('Permitted Diesel Engines'!$D$3&gt;0,"",IF('Permitted Diesel Engines'!E11&gt;0,'Permitted Diesel Engines'!E11*'Emission Calculations'!F58*D58/2000,'Emission Calculations'!I58*8760/2000)))</f>
      </c>
      <c r="M58" s="54">
        <f>IF('Permitted Diesel Engines'!C11="","",'Permitted Diesel Engines'!L11*0.14*'Emission Calculations'!F58/2000)</f>
      </c>
    </row>
    <row r="59" spans="1:13" ht="15">
      <c r="A59" s="18">
        <f>IF('Permitted Diesel Engines'!A12="","",'Permitted Diesel Engines'!A12)</f>
      </c>
      <c r="B59" s="12">
        <f>IF('Permitted Diesel Engines'!C12="","",'Permitted Diesel Engines'!C12)</f>
      </c>
      <c r="C59" s="11">
        <f>IF('Permitted Diesel Engines'!C12="","",LOOKUP('Permitted Diesel Engines'!C12,'Emission Factors'!$A$42:$A$43,'Emission Factors'!$B$42:$B$43))</f>
      </c>
      <c r="D59" s="11">
        <f>IF('Permitted Diesel Engines'!C12="","",'Permitted Diesel Engines'!K12)</f>
      </c>
      <c r="E59" s="11">
        <f>IF('Permitted Diesel Engines'!C12="","","MMBtu/hr")</f>
      </c>
      <c r="F59" s="11">
        <f>IF('Permitted Diesel Engines'!C12="","",LOOKUP('Permitted Diesel Engines'!C12,'Emission Factors'!$A$42:$A$43,'Emission Factors'!$J$42:$J$43))</f>
      </c>
      <c r="G59" s="11">
        <f>IF('Permitted Diesel Engines'!C12="","",LOOKUP('Permitted Diesel Engines'!C12,'Emission Factors'!$A$42:$A$43,'Emission Factors'!$C$42:$C$43))</f>
      </c>
      <c r="H59" s="108">
        <f>IF('Permitted Diesel Engines'!C12="","",LOOKUP('Permitted Diesel Engines'!C12,'Emission Factors'!$A$42:$A$43,'Emission Factors'!$K$42:$K$43))</f>
      </c>
      <c r="I59" s="14">
        <f>IF('Permitted Diesel Engines'!C12="","",D59*F59)</f>
      </c>
      <c r="J59" s="11"/>
      <c r="K59" s="54"/>
      <c r="L59" s="54">
        <f>IF(F59="","",IF('Permitted Diesel Engines'!$D$3&gt;0,"",IF('Permitted Diesel Engines'!E12&gt;0,'Permitted Diesel Engines'!E12*'Emission Calculations'!F59*D59/2000,'Emission Calculations'!I59*8760/2000)))</f>
      </c>
      <c r="M59" s="54">
        <f>IF('Permitted Diesel Engines'!C12="","",'Permitted Diesel Engines'!L12*0.14*'Emission Calculations'!F59/2000)</f>
      </c>
    </row>
    <row r="60" spans="1:13" ht="15">
      <c r="A60" s="18">
        <f>IF('Permitted Diesel Engines'!A13="","",'Permitted Diesel Engines'!A13)</f>
      </c>
      <c r="B60" s="12">
        <f>IF('Permitted Diesel Engines'!C13="","",'Permitted Diesel Engines'!C13)</f>
      </c>
      <c r="C60" s="11">
        <f>IF('Permitted Diesel Engines'!C13="","",LOOKUP('Permitted Diesel Engines'!C13,'Emission Factors'!$A$42:$A$43,'Emission Factors'!$B$42:$B$43))</f>
      </c>
      <c r="D60" s="11">
        <f>IF('Permitted Diesel Engines'!C13="","",'Permitted Diesel Engines'!K13)</f>
      </c>
      <c r="E60" s="11">
        <f>IF('Permitted Diesel Engines'!C13="","","MMBtu/hr")</f>
      </c>
      <c r="F60" s="11">
        <f>IF('Permitted Diesel Engines'!C13="","",LOOKUP('Permitted Diesel Engines'!C13,'Emission Factors'!$A$42:$A$43,'Emission Factors'!$J$42:$J$43))</f>
      </c>
      <c r="G60" s="11">
        <f>IF('Permitted Diesel Engines'!C13="","",LOOKUP('Permitted Diesel Engines'!C13,'Emission Factors'!$A$42:$A$43,'Emission Factors'!$C$42:$C$43))</f>
      </c>
      <c r="H60" s="108">
        <f>IF('Permitted Diesel Engines'!C13="","",LOOKUP('Permitted Diesel Engines'!C13,'Emission Factors'!$A$42:$A$43,'Emission Factors'!$K$42:$K$43))</f>
      </c>
      <c r="I60" s="14">
        <f>IF('Permitted Diesel Engines'!C13="","",D60*F60)</f>
      </c>
      <c r="J60" s="11"/>
      <c r="K60" s="54"/>
      <c r="L60" s="54">
        <f>IF(F60="","",IF('Permitted Diesel Engines'!$D$3&gt;0,"",IF('Permitted Diesel Engines'!E13&gt;0,'Permitted Diesel Engines'!E13*'Emission Calculations'!F60*D60/2000,'Emission Calculations'!I60*8760/2000)))</f>
      </c>
      <c r="M60" s="54">
        <f>IF('Permitted Diesel Engines'!C13="","",'Permitted Diesel Engines'!L13*0.14*'Emission Calculations'!F60/2000)</f>
      </c>
    </row>
    <row r="61" spans="1:13" ht="15">
      <c r="A61" s="64"/>
      <c r="B61" s="22"/>
      <c r="C61" s="23"/>
      <c r="D61" s="23"/>
      <c r="E61" s="23"/>
      <c r="F61" s="23"/>
      <c r="G61" s="23"/>
      <c r="H61" s="109"/>
      <c r="I61" s="65"/>
      <c r="J61" s="23"/>
      <c r="K61" s="16" t="s">
        <v>39</v>
      </c>
      <c r="L61" s="54">
        <f>SUM(L56:L60)</f>
        <v>0</v>
      </c>
      <c r="M61" s="54">
        <f>SUM(M56:M60)</f>
        <v>0</v>
      </c>
    </row>
    <row r="62" spans="1:13" ht="15.75">
      <c r="A62" s="181" t="s">
        <v>13</v>
      </c>
      <c r="B62" s="181"/>
      <c r="C62" s="9"/>
      <c r="D62" s="10"/>
      <c r="E62" s="10"/>
      <c r="F62" s="10"/>
      <c r="G62" s="10"/>
      <c r="H62" s="110"/>
      <c r="I62" s="15"/>
      <c r="J62" s="10"/>
      <c r="K62" s="13"/>
      <c r="L62" s="13"/>
      <c r="M62" s="13"/>
    </row>
    <row r="63" spans="1:13" ht="15">
      <c r="A63" s="18">
        <f>IF('Permitted Diesel Engines'!A9="","",'Permitted Diesel Engines'!A9)</f>
      </c>
      <c r="B63" s="12">
        <f>IF('Permitted Diesel Engines'!C9="","",'Permitted Diesel Engines'!C9)</f>
      </c>
      <c r="C63" s="11">
        <f>IF('Permitted Diesel Engines'!C9="","",LOOKUP('Permitted Diesel Engines'!C9,'Emission Factors'!$A$42:$A$43,'Emission Factors'!$B$42:$B$43))</f>
      </c>
      <c r="D63" s="11">
        <f>IF('Permitted Diesel Engines'!C9="","",'Permitted Diesel Engines'!K9)</f>
      </c>
      <c r="E63" s="11">
        <f>IF('Permitted Diesel Engines'!C9="","","MMBtu/hr")</f>
      </c>
      <c r="F63" s="11">
        <f>IF('Permitted Diesel Engines'!C9="","",LOOKUP('Permitted Diesel Engines'!C9,'Emission Factors'!$A$42:$A$43,'Emission Factors'!$L$42:$L$43))</f>
      </c>
      <c r="G63" s="11">
        <f>IF('Permitted Diesel Engines'!C9="","",LOOKUP('Permitted Diesel Engines'!C9,'Emission Factors'!$A$42:$A$43,'Emission Factors'!$C$42:$C$43))</f>
      </c>
      <c r="H63" s="108">
        <f>IF('Permitted Diesel Engines'!C9="","",LOOKUP('Permitted Diesel Engines'!C9,'Emission Factors'!$A$42:$A$43,'Emission Factors'!$M$42:$M$43))</f>
      </c>
      <c r="I63" s="14">
        <f>IF('Permitted Diesel Engines'!C9="","",D63*F63)</f>
      </c>
      <c r="J63" s="11"/>
      <c r="K63" s="54"/>
      <c r="L63" s="54">
        <f>IF(F63="","",IF('Permitted Diesel Engines'!D3&gt;0,IF('Permitted Diesel Engines'!N11&gt;0,'Permitted Diesel Engines'!D3*0.14*'Emission Factors'!L42/2000,'Permitted Diesel Engines'!D3*0.14*'Emission Factors'!L43/2000),IF('Permitted Diesel Engines'!E9&gt;0,'Permitted Diesel Engines'!E9*'Emission Calculations'!F63*D63/2000,'Emission Calculations'!I63*8760/2000)))</f>
      </c>
      <c r="M63" s="54">
        <f>IF('Permitted Diesel Engines'!C9="","",'Permitted Diesel Engines'!L9*0.14*'Emission Calculations'!F63/2000)</f>
      </c>
    </row>
    <row r="64" spans="1:13" ht="15">
      <c r="A64" s="18">
        <f>IF('Permitted Diesel Engines'!A10="","",'Permitted Diesel Engines'!A10)</f>
      </c>
      <c r="B64" s="12">
        <f>IF('Permitted Diesel Engines'!C10="","",'Permitted Diesel Engines'!C10)</f>
      </c>
      <c r="C64" s="11">
        <f>IF('Permitted Diesel Engines'!C10="","",LOOKUP('Permitted Diesel Engines'!C10,'Emission Factors'!$A$42:$A$43,'Emission Factors'!$B$42:$B$43))</f>
      </c>
      <c r="D64" s="11">
        <f>IF('Permitted Diesel Engines'!C10="","",'Permitted Diesel Engines'!K10)</f>
      </c>
      <c r="E64" s="11">
        <f>IF('Permitted Diesel Engines'!C10="","","MMBtu/hr")</f>
      </c>
      <c r="F64" s="11">
        <f>IF('Permitted Diesel Engines'!C10="","",LOOKUP('Permitted Diesel Engines'!C10,'Emission Factors'!$A$42:$A$43,'Emission Factors'!$L$42:$L$43))</f>
      </c>
      <c r="G64" s="11">
        <f>IF('Permitted Diesel Engines'!C10="","",LOOKUP('Permitted Diesel Engines'!C10,'Emission Factors'!$A$42:$A$43,'Emission Factors'!$C$42:$C$43))</f>
      </c>
      <c r="H64" s="108">
        <f>IF('Permitted Diesel Engines'!C10="","",LOOKUP('Permitted Diesel Engines'!C10,'Emission Factors'!$A$42:$A$43,'Emission Factors'!$M$42:$M$43))</f>
      </c>
      <c r="I64" s="14">
        <f>IF('Permitted Diesel Engines'!C10="","",D64*F64)</f>
      </c>
      <c r="J64" s="11"/>
      <c r="K64" s="54"/>
      <c r="L64" s="54">
        <f>IF(F64="","",IF('Permitted Diesel Engines'!$D$3&gt;0,"",IF('Permitted Diesel Engines'!E10&gt;0,'Permitted Diesel Engines'!E10*'Emission Calculations'!F64*D64/2000,'Emission Calculations'!I64*8760/2000)))</f>
      </c>
      <c r="M64" s="54">
        <f>IF('Permitted Diesel Engines'!C10="","",'Permitted Diesel Engines'!L10*0.14*'Emission Calculations'!F64/2000)</f>
      </c>
    </row>
    <row r="65" spans="1:13" ht="15">
      <c r="A65" s="18">
        <f>IF('Permitted Diesel Engines'!A11="","",'Permitted Diesel Engines'!A11)</f>
      </c>
      <c r="B65" s="12">
        <f>IF('Permitted Diesel Engines'!C11="","",'Permitted Diesel Engines'!C11)</f>
      </c>
      <c r="C65" s="11">
        <f>IF('Permitted Diesel Engines'!C11="","",LOOKUP('Permitted Diesel Engines'!C11,'Emission Factors'!$A$42:$A$43,'Emission Factors'!$B$42:$B$43))</f>
      </c>
      <c r="D65" s="11">
        <f>IF('Permitted Diesel Engines'!C11="","",'Permitted Diesel Engines'!K11)</f>
      </c>
      <c r="E65" s="11">
        <f>IF('Permitted Diesel Engines'!C11="","","MMBtu/hr")</f>
      </c>
      <c r="F65" s="11">
        <f>IF('Permitted Diesel Engines'!C11="","",LOOKUP('Permitted Diesel Engines'!C11,'Emission Factors'!$A$42:$A$43,'Emission Factors'!$L$42:$L$43))</f>
      </c>
      <c r="G65" s="11">
        <f>IF('Permitted Diesel Engines'!C11="","",LOOKUP('Permitted Diesel Engines'!C11,'Emission Factors'!$A$42:$A$43,'Emission Factors'!$C$42:$C$43))</f>
      </c>
      <c r="H65" s="108">
        <f>IF('Permitted Diesel Engines'!C11="","",LOOKUP('Permitted Diesel Engines'!C11,'Emission Factors'!$A$42:$A$43,'Emission Factors'!$M$42:$M$43))</f>
      </c>
      <c r="I65" s="14">
        <f>IF('Permitted Diesel Engines'!C11="","",D65*F65)</f>
      </c>
      <c r="J65" s="11"/>
      <c r="K65" s="54"/>
      <c r="L65" s="54">
        <f>IF(F65="","",IF('Permitted Diesel Engines'!$D$3&gt;0,"",IF('Permitted Diesel Engines'!E11&gt;0,'Permitted Diesel Engines'!E11*'Emission Calculations'!F65*D65/2000,'Emission Calculations'!I65*8760/2000)))</f>
      </c>
      <c r="M65" s="54">
        <f>IF('Permitted Diesel Engines'!C11="","",'Permitted Diesel Engines'!L11*0.14*'Emission Calculations'!F65/2000)</f>
      </c>
    </row>
    <row r="66" spans="1:13" ht="15">
      <c r="A66" s="18">
        <f>IF('Permitted Diesel Engines'!A12="","",'Permitted Diesel Engines'!A12)</f>
      </c>
      <c r="B66" s="12">
        <f>IF('Permitted Diesel Engines'!C12="","",'Permitted Diesel Engines'!C12)</f>
      </c>
      <c r="C66" s="11">
        <f>IF('Permitted Diesel Engines'!C12="","",LOOKUP('Permitted Diesel Engines'!C12,'Emission Factors'!$A$42:$A$43,'Emission Factors'!$B$42:$B$43))</f>
      </c>
      <c r="D66" s="11">
        <f>IF('Permitted Diesel Engines'!C12="","",'Permitted Diesel Engines'!K12)</f>
      </c>
      <c r="E66" s="11">
        <f>IF('Permitted Diesel Engines'!C12="","","MMBtu/hr")</f>
      </c>
      <c r="F66" s="11">
        <f>IF('Permitted Diesel Engines'!C12="","",LOOKUP('Permitted Diesel Engines'!C12,'Emission Factors'!$A$42:$A$43,'Emission Factors'!$L$42:$L$43))</f>
      </c>
      <c r="G66" s="11">
        <f>IF('Permitted Diesel Engines'!C12="","",LOOKUP('Permitted Diesel Engines'!C12,'Emission Factors'!$A$42:$A$43,'Emission Factors'!$C$42:$C$43))</f>
      </c>
      <c r="H66" s="108">
        <f>IF('Permitted Diesel Engines'!C12="","",LOOKUP('Permitted Diesel Engines'!C12,'Emission Factors'!$A$42:$A$43,'Emission Factors'!$M$42:$M$43))</f>
      </c>
      <c r="I66" s="14">
        <f>IF('Permitted Diesel Engines'!C12="","",D66*F66)</f>
      </c>
      <c r="J66" s="11"/>
      <c r="K66" s="54"/>
      <c r="L66" s="54">
        <f>IF(F66="","",IF('Permitted Diesel Engines'!$D$3&gt;0,"",IF('Permitted Diesel Engines'!E12&gt;0,'Permitted Diesel Engines'!E12*'Emission Calculations'!F66*D66/2000,'Emission Calculations'!I66*8760/2000)))</f>
      </c>
      <c r="M66" s="54">
        <f>IF('Permitted Diesel Engines'!C12="","",'Permitted Diesel Engines'!L12*0.14*'Emission Calculations'!F66/2000)</f>
      </c>
    </row>
    <row r="67" spans="1:13" ht="15">
      <c r="A67" s="18">
        <f>IF('Permitted Diesel Engines'!A13="","",'Permitted Diesel Engines'!A13)</f>
      </c>
      <c r="B67" s="12">
        <f>IF('Permitted Diesel Engines'!C13="","",'Permitted Diesel Engines'!C13)</f>
      </c>
      <c r="C67" s="11">
        <f>IF('Permitted Diesel Engines'!C13="","",LOOKUP('Permitted Diesel Engines'!C13,'Emission Factors'!$A$42:$A$43,'Emission Factors'!$B$42:$B$43))</f>
      </c>
      <c r="D67" s="11">
        <f>IF('Permitted Diesel Engines'!C13="","",'Permitted Diesel Engines'!K13)</f>
      </c>
      <c r="E67" s="11">
        <f>IF('Permitted Diesel Engines'!C13="","","MMBtu/hr")</f>
      </c>
      <c r="F67" s="11">
        <f>IF('Permitted Diesel Engines'!C13="","",LOOKUP('Permitted Diesel Engines'!C13,'Emission Factors'!$A$42:$A$43,'Emission Factors'!$L$42:$L$43))</f>
      </c>
      <c r="G67" s="11">
        <f>IF('Permitted Diesel Engines'!C13="","",LOOKUP('Permitted Diesel Engines'!C13,'Emission Factors'!$A$42:$A$43,'Emission Factors'!$C$42:$C$43))</f>
      </c>
      <c r="H67" s="108">
        <f>IF('Permitted Diesel Engines'!C13="","",LOOKUP('Permitted Diesel Engines'!C13,'Emission Factors'!$A$42:$A$43,'Emission Factors'!$M$42:$M$43))</f>
      </c>
      <c r="I67" s="14">
        <f>IF('Permitted Diesel Engines'!C13="","",D67*F67)</f>
      </c>
      <c r="J67" s="11"/>
      <c r="K67" s="54"/>
      <c r="L67" s="54">
        <f>IF(F67="","",IF('Permitted Diesel Engines'!$D$3&gt;0,"",IF('Permitted Diesel Engines'!E13&gt;0,'Permitted Diesel Engines'!E13*'Emission Calculations'!F67*D67/2000,'Emission Calculations'!I67*8760/2000)))</f>
      </c>
      <c r="M67" s="54">
        <f>IF('Permitted Diesel Engines'!C13="","",'Permitted Diesel Engines'!L13*0.14*'Emission Calculations'!F67/2000)</f>
      </c>
    </row>
    <row r="68" spans="1:13" ht="15">
      <c r="A68" s="64"/>
      <c r="B68" s="22"/>
      <c r="C68" s="23"/>
      <c r="D68" s="23"/>
      <c r="E68" s="23"/>
      <c r="F68" s="23"/>
      <c r="G68" s="23"/>
      <c r="H68" s="109"/>
      <c r="I68" s="65"/>
      <c r="J68" s="23"/>
      <c r="K68" s="16" t="s">
        <v>39</v>
      </c>
      <c r="L68" s="54">
        <f>SUM(L63:L67)</f>
        <v>0</v>
      </c>
      <c r="M68" s="54">
        <f>SUM(M63:M67)</f>
        <v>0</v>
      </c>
    </row>
    <row r="69" spans="1:13" ht="15.75">
      <c r="A69" s="181" t="s">
        <v>14</v>
      </c>
      <c r="B69" s="181"/>
      <c r="C69" s="9"/>
      <c r="D69" s="10"/>
      <c r="E69" s="10"/>
      <c r="F69" s="10"/>
      <c r="G69" s="10"/>
      <c r="H69" s="110"/>
      <c r="I69" s="15"/>
      <c r="J69" s="10"/>
      <c r="K69" s="13"/>
      <c r="L69" s="13"/>
      <c r="M69" s="13"/>
    </row>
    <row r="70" spans="1:13" ht="15">
      <c r="A70" s="18">
        <f>IF('Permitted Diesel Engines'!A9="","",'Permitted Diesel Engines'!A9)</f>
      </c>
      <c r="B70" s="12">
        <f>IF('Permitted Diesel Engines'!C9="","",'Permitted Diesel Engines'!C9)</f>
      </c>
      <c r="C70" s="11">
        <f>IF('Permitted Diesel Engines'!C9="","",LOOKUP('Permitted Diesel Engines'!C9,'Emission Factors'!$A$42:$A$43,'Emission Factors'!$B$42:$B$43))</f>
      </c>
      <c r="D70" s="11">
        <f>IF('Permitted Diesel Engines'!C9="","",'Permitted Diesel Engines'!K9)</f>
      </c>
      <c r="E70" s="11">
        <f>IF('Permitted Diesel Engines'!C9="","","MMBtu/hr")</f>
      </c>
      <c r="F70" s="11">
        <f>IF('Permitted Diesel Engines'!C9="","",LOOKUP('Permitted Diesel Engines'!C9,'Emission Factors'!$A$42:$A$43,'Emission Factors'!$N$42:$N$43))</f>
      </c>
      <c r="G70" s="11">
        <f>IF('Permitted Diesel Engines'!C9="","",LOOKUP('Permitted Diesel Engines'!C9,'Emission Factors'!$A$42:$A$43,'Emission Factors'!$C$42:$C$43))</f>
      </c>
      <c r="H70" s="108">
        <f>IF('Permitted Diesel Engines'!C9="","",LOOKUP('Permitted Diesel Engines'!C9,'Emission Factors'!$A$42:$A$43,'Emission Factors'!$O$42:$O$43))</f>
      </c>
      <c r="I70" s="14">
        <f>IF('Permitted Diesel Engines'!C9="","",D70*F70)</f>
      </c>
      <c r="J70" s="11"/>
      <c r="K70" s="54"/>
      <c r="L70" s="54">
        <f>IF(F70="","",IF('Permitted Diesel Engines'!D3&gt;0,IF('Permitted Diesel Engines'!N11&gt;0,'Permitted Diesel Engines'!D3*0.14*'Emission Factors'!N42/2000,'Permitted Diesel Engines'!D3*0.14*'Emission Factors'!N43/2000),IF('Permitted Diesel Engines'!E9&gt;0,'Permitted Diesel Engines'!E9*'Emission Calculations'!F70*D70/2000,'Emission Calculations'!I70*8760/2000)))</f>
      </c>
      <c r="M70" s="54">
        <f>IF('Permitted Diesel Engines'!C9="","",'Permitted Diesel Engines'!L9*0.14*'Emission Calculations'!F70/2000)</f>
      </c>
    </row>
    <row r="71" spans="1:13" ht="15">
      <c r="A71" s="18">
        <f>IF('Permitted Diesel Engines'!A10="","",'Permitted Diesel Engines'!A10)</f>
      </c>
      <c r="B71" s="12">
        <f>IF('Permitted Diesel Engines'!C10="","",'Permitted Diesel Engines'!C10)</f>
      </c>
      <c r="C71" s="11">
        <f>IF('Permitted Diesel Engines'!C10="","",LOOKUP('Permitted Diesel Engines'!C10,'Emission Factors'!$A$42:$A$43,'Emission Factors'!$B$42:$B$43))</f>
      </c>
      <c r="D71" s="11">
        <f>IF('Permitted Diesel Engines'!C10="","",'Permitted Diesel Engines'!K10)</f>
      </c>
      <c r="E71" s="11">
        <f>IF('Permitted Diesel Engines'!C10="","","MMBtu/hr")</f>
      </c>
      <c r="F71" s="11">
        <f>IF('Permitted Diesel Engines'!C10="","",LOOKUP('Permitted Diesel Engines'!C10,'Emission Factors'!$A$42:$A$43,'Emission Factors'!$N$42:$N$43))</f>
      </c>
      <c r="G71" s="11">
        <f>IF('Permitted Diesel Engines'!C10="","",LOOKUP('Permitted Diesel Engines'!C10,'Emission Factors'!$A$42:$A$43,'Emission Factors'!$C$42:$C$43))</f>
      </c>
      <c r="H71" s="108">
        <f>IF('Permitted Diesel Engines'!C10="","",LOOKUP('Permitted Diesel Engines'!C10,'Emission Factors'!$A$42:$A$43,'Emission Factors'!$O$42:$O$43))</f>
      </c>
      <c r="I71" s="14">
        <f>IF('Permitted Diesel Engines'!C10="","",D71*F71)</f>
      </c>
      <c r="J71" s="11"/>
      <c r="K71" s="54"/>
      <c r="L71" s="54">
        <f>IF(F71="","",IF('Permitted Diesel Engines'!$D$3&gt;0,"",IF('Permitted Diesel Engines'!E10&gt;0,'Permitted Diesel Engines'!E10*'Emission Calculations'!F71*D71/2000,'Emission Calculations'!I71*8760/2000)))</f>
      </c>
      <c r="M71" s="54">
        <f>IF('Permitted Diesel Engines'!C10="","",'Permitted Diesel Engines'!L10*0.14*'Emission Calculations'!F71/2000)</f>
      </c>
    </row>
    <row r="72" spans="1:13" ht="15">
      <c r="A72" s="18">
        <f>IF('Permitted Diesel Engines'!A11="","",'Permitted Diesel Engines'!A11)</f>
      </c>
      <c r="B72" s="12">
        <f>IF('Permitted Diesel Engines'!C11="","",'Permitted Diesel Engines'!C11)</f>
      </c>
      <c r="C72" s="11">
        <f>IF('Permitted Diesel Engines'!C11="","",LOOKUP('Permitted Diesel Engines'!C11,'Emission Factors'!$A$42:$A$43,'Emission Factors'!$B$42:$B$43))</f>
      </c>
      <c r="D72" s="11">
        <f>IF('Permitted Diesel Engines'!C11="","",'Permitted Diesel Engines'!K11)</f>
      </c>
      <c r="E72" s="11">
        <f>IF('Permitted Diesel Engines'!C11="","","MMBtu/hr")</f>
      </c>
      <c r="F72" s="11">
        <f>IF('Permitted Diesel Engines'!C11="","",LOOKUP('Permitted Diesel Engines'!C11,'Emission Factors'!$A$42:$A$43,'Emission Factors'!$N$42:$N$43))</f>
      </c>
      <c r="G72" s="11">
        <f>IF('Permitted Diesel Engines'!C11="","",LOOKUP('Permitted Diesel Engines'!C11,'Emission Factors'!$A$42:$A$43,'Emission Factors'!$C$42:$C$43))</f>
      </c>
      <c r="H72" s="108">
        <f>IF('Permitted Diesel Engines'!C11="","",LOOKUP('Permitted Diesel Engines'!C11,'Emission Factors'!$A$42:$A$43,'Emission Factors'!$O$42:$O$43))</f>
      </c>
      <c r="I72" s="14">
        <f>IF('Permitted Diesel Engines'!C11="","",D72*F72)</f>
      </c>
      <c r="J72" s="11"/>
      <c r="K72" s="54"/>
      <c r="L72" s="54">
        <f>IF(F72="","",IF('Permitted Diesel Engines'!$D$3&gt;0,"",IF('Permitted Diesel Engines'!E11&gt;0,'Permitted Diesel Engines'!E11*'Emission Calculations'!F72*D72/2000,'Emission Calculations'!I72*8760/2000)))</f>
      </c>
      <c r="M72" s="54">
        <f>IF('Permitted Diesel Engines'!C11="","",'Permitted Diesel Engines'!L11*0.14*'Emission Calculations'!F72/2000)</f>
      </c>
    </row>
    <row r="73" spans="1:13" ht="15">
      <c r="A73" s="18">
        <f>IF('Permitted Diesel Engines'!A12="","",'Permitted Diesel Engines'!A12)</f>
      </c>
      <c r="B73" s="12">
        <f>IF('Permitted Diesel Engines'!C12="","",'Permitted Diesel Engines'!C12)</f>
      </c>
      <c r="C73" s="11">
        <f>IF('Permitted Diesel Engines'!C12="","",LOOKUP('Permitted Diesel Engines'!C12,'Emission Factors'!$A$42:$A$43,'Emission Factors'!$B$42:$B$43))</f>
      </c>
      <c r="D73" s="11">
        <f>IF('Permitted Diesel Engines'!C12="","",'Permitted Diesel Engines'!K12)</f>
      </c>
      <c r="E73" s="11">
        <f>IF('Permitted Diesel Engines'!C12="","","MMBtu/hr")</f>
      </c>
      <c r="F73" s="11">
        <f>IF('Permitted Diesel Engines'!C12="","",LOOKUP('Permitted Diesel Engines'!C12,'Emission Factors'!$A$42:$A$43,'Emission Factors'!$N$42:$N$43))</f>
      </c>
      <c r="G73" s="11">
        <f>IF('Permitted Diesel Engines'!C12="","",LOOKUP('Permitted Diesel Engines'!C12,'Emission Factors'!$A$42:$A$43,'Emission Factors'!$C$42:$C$43))</f>
      </c>
      <c r="H73" s="108">
        <f>IF('Permitted Diesel Engines'!C12="","",LOOKUP('Permitted Diesel Engines'!C12,'Emission Factors'!$A$42:$A$43,'Emission Factors'!$O$42:$O$43))</f>
      </c>
      <c r="I73" s="14">
        <f>IF('Permitted Diesel Engines'!C12="","",D73*F73)</f>
      </c>
      <c r="J73" s="11"/>
      <c r="K73" s="54"/>
      <c r="L73" s="54">
        <f>IF(F73="","",IF('Permitted Diesel Engines'!$D$3&gt;0,"",IF('Permitted Diesel Engines'!E12&gt;0,'Permitted Diesel Engines'!E12*'Emission Calculations'!F73*D73/2000,'Emission Calculations'!I73*8760/2000)))</f>
      </c>
      <c r="M73" s="54">
        <f>IF('Permitted Diesel Engines'!C12="","",'Permitted Diesel Engines'!L12*0.14*'Emission Calculations'!F73/2000)</f>
      </c>
    </row>
    <row r="74" spans="1:13" ht="15">
      <c r="A74" s="18">
        <f>IF('Permitted Diesel Engines'!A13="","",'Permitted Diesel Engines'!A13)</f>
      </c>
      <c r="B74" s="12">
        <f>IF('Permitted Diesel Engines'!C13="","",'Permitted Diesel Engines'!C13)</f>
      </c>
      <c r="C74" s="11">
        <f>IF('Permitted Diesel Engines'!C13="","",LOOKUP('Permitted Diesel Engines'!C13,'Emission Factors'!$A$42:$A$43,'Emission Factors'!$B$42:$B$43))</f>
      </c>
      <c r="D74" s="11">
        <f>IF('Permitted Diesel Engines'!C13="","",'Permitted Diesel Engines'!K13)</f>
      </c>
      <c r="E74" s="11">
        <f>IF('Permitted Diesel Engines'!C13="","","MMBtu/hr")</f>
      </c>
      <c r="F74" s="11">
        <f>IF('Permitted Diesel Engines'!C13="","",LOOKUP('Permitted Diesel Engines'!C13,'Emission Factors'!$A$42:$A$43,'Emission Factors'!$N$42:$N$43))</f>
      </c>
      <c r="G74" s="11">
        <f>IF('Permitted Diesel Engines'!C13="","",LOOKUP('Permitted Diesel Engines'!C13,'Emission Factors'!$A$42:$A$43,'Emission Factors'!$C$42:$C$43))</f>
      </c>
      <c r="H74" s="108">
        <f>IF('Permitted Diesel Engines'!C13="","",LOOKUP('Permitted Diesel Engines'!C13,'Emission Factors'!$A$42:$A$43,'Emission Factors'!$O$42:$O$43))</f>
      </c>
      <c r="I74" s="14">
        <f>IF('Permitted Diesel Engines'!C13="","",D74*F74)</f>
      </c>
      <c r="J74" s="11"/>
      <c r="K74" s="54"/>
      <c r="L74" s="54">
        <f>IF(F74="","",IF('Permitted Diesel Engines'!$D$3&gt;0,"",IF('Permitted Diesel Engines'!E13&gt;0,'Permitted Diesel Engines'!E13*'Emission Calculations'!F74*D74/2000,'Emission Calculations'!I74*8760/2000)))</f>
      </c>
      <c r="M74" s="54">
        <f>IF('Permitted Diesel Engines'!C13="","",'Permitted Diesel Engines'!L13*0.14*'Emission Calculations'!F74/2000)</f>
      </c>
    </row>
    <row r="75" spans="1:13" ht="15">
      <c r="A75" s="64"/>
      <c r="B75" s="22"/>
      <c r="C75" s="23"/>
      <c r="D75" s="23"/>
      <c r="E75" s="23"/>
      <c r="F75" s="23"/>
      <c r="G75" s="23"/>
      <c r="H75" s="109"/>
      <c r="I75" s="65"/>
      <c r="J75" s="23"/>
      <c r="K75" s="16" t="s">
        <v>39</v>
      </c>
      <c r="L75" s="54">
        <f>SUM(L70:L74)</f>
        <v>0</v>
      </c>
      <c r="M75" s="54">
        <f>SUM(M70:M74)</f>
        <v>0</v>
      </c>
    </row>
    <row r="76" spans="1:13" ht="15.75">
      <c r="A76" s="181" t="s">
        <v>16</v>
      </c>
      <c r="B76" s="181"/>
      <c r="C76" s="9"/>
      <c r="D76" s="10"/>
      <c r="E76" s="10"/>
      <c r="F76" s="10"/>
      <c r="G76" s="10"/>
      <c r="H76" s="110"/>
      <c r="I76" s="15"/>
      <c r="J76" s="10"/>
      <c r="K76" s="13"/>
      <c r="L76" s="13"/>
      <c r="M76" s="13"/>
    </row>
    <row r="77" spans="1:13" ht="15">
      <c r="A77" s="18">
        <f>IF('Permitted Diesel Engines'!A9="","",'Permitted Diesel Engines'!A9)</f>
      </c>
      <c r="B77" s="12">
        <f>IF('Permitted Diesel Engines'!C9="","",'Permitted Diesel Engines'!C9)</f>
      </c>
      <c r="C77" s="11">
        <f>IF('Permitted Diesel Engines'!C9="","",LOOKUP('Permitted Diesel Engines'!C9,'Emission Factors'!$A$42:$A$43,'Emission Factors'!$B$42:$B$43))</f>
      </c>
      <c r="D77" s="11">
        <f>IF('Permitted Diesel Engines'!C9="","",'Permitted Diesel Engines'!K9)</f>
      </c>
      <c r="E77" s="11">
        <f>IF('Permitted Diesel Engines'!C9="","","MMBtu/hr")</f>
      </c>
      <c r="F77" s="11">
        <f>IF('Permitted Diesel Engines'!C9="","",LOOKUP('Permitted Diesel Engines'!C9,'Emission Factors'!$A$42:$A$43,'Emission Factors'!$P$42:$P$43))</f>
      </c>
      <c r="G77" s="11">
        <f>IF('Permitted Diesel Engines'!C9="","",LOOKUP('Permitted Diesel Engines'!C9,'Emission Factors'!$A$42:$A$43,'Emission Factors'!$C$42:$C$43))</f>
      </c>
      <c r="H77" s="108">
        <f>IF('Permitted Diesel Engines'!C9="","",LOOKUP('Permitted Diesel Engines'!C9,'Emission Factors'!$A$42:$A$43,'Emission Factors'!$Q$42:$Q$43))</f>
      </c>
      <c r="I77" s="14">
        <f>IF('Permitted Diesel Engines'!C9="","",D77*F77)</f>
      </c>
      <c r="J77" s="11"/>
      <c r="K77" s="54"/>
      <c r="L77" s="54">
        <f>IF(F77="","",IF('Permitted Diesel Engines'!D3&gt;0,IF('Permitted Diesel Engines'!N11&gt;0,'Permitted Diesel Engines'!D3*0.14*'Emission Factors'!P42/2000,'Permitted Diesel Engines'!D3*0.14*'Emission Factors'!P43/2000),IF('Permitted Diesel Engines'!E9&gt;0,'Permitted Diesel Engines'!E9*'Emission Calculations'!F77*D77/2000,'Emission Calculations'!I77*8760/2000)))</f>
      </c>
      <c r="M77" s="54">
        <f>IF('Permitted Diesel Engines'!C9="","",'Permitted Diesel Engines'!L9*0.14*'Emission Calculations'!F77/2000)</f>
      </c>
    </row>
    <row r="78" spans="1:13" ht="15">
      <c r="A78" s="18">
        <f>IF('Permitted Diesel Engines'!A10="","",'Permitted Diesel Engines'!A10)</f>
      </c>
      <c r="B78" s="12">
        <f>IF('Permitted Diesel Engines'!C10="","",'Permitted Diesel Engines'!C10)</f>
      </c>
      <c r="C78" s="11">
        <f>IF('Permitted Diesel Engines'!C10="","",LOOKUP('Permitted Diesel Engines'!C10,'Emission Factors'!$A$42:$A$43,'Emission Factors'!$B$42:$B$43))</f>
      </c>
      <c r="D78" s="11">
        <f>IF('Permitted Diesel Engines'!C10="","",'Permitted Diesel Engines'!K10)</f>
      </c>
      <c r="E78" s="11">
        <f>IF('Permitted Diesel Engines'!C10="","","MMBtu/hr")</f>
      </c>
      <c r="F78" s="11">
        <f>IF('Permitted Diesel Engines'!C10="","",LOOKUP('Permitted Diesel Engines'!C10,'Emission Factors'!$A$42:$A$43,'Emission Factors'!$P$42:$P$43))</f>
      </c>
      <c r="G78" s="11">
        <f>IF('Permitted Diesel Engines'!C10="","",LOOKUP('Permitted Diesel Engines'!C10,'Emission Factors'!$A$42:$A$43,'Emission Factors'!$C$42:$C$43))</f>
      </c>
      <c r="H78" s="108">
        <f>IF('Permitted Diesel Engines'!C10="","",LOOKUP('Permitted Diesel Engines'!C10,'Emission Factors'!$A$42:$A$43,'Emission Factors'!$Q$42:$Q$43))</f>
      </c>
      <c r="I78" s="14">
        <f>IF('Permitted Diesel Engines'!C10="","",D78*F78)</f>
      </c>
      <c r="J78" s="11"/>
      <c r="K78" s="54"/>
      <c r="L78" s="54">
        <f>IF(F78="","",IF('Permitted Diesel Engines'!$D$3&gt;0,"",IF('Permitted Diesel Engines'!E10&gt;0,'Permitted Diesel Engines'!E10*'Emission Calculations'!F78*D78/2000,'Emission Calculations'!I78*8760/2000)))</f>
      </c>
      <c r="M78" s="54">
        <f>IF('Permitted Diesel Engines'!C10="","",'Permitted Diesel Engines'!L10*0.14*'Emission Calculations'!F78/2000)</f>
      </c>
    </row>
    <row r="79" spans="1:13" ht="15">
      <c r="A79" s="18">
        <f>IF('Permitted Diesel Engines'!A11="","",'Permitted Diesel Engines'!A11)</f>
      </c>
      <c r="B79" s="12">
        <f>IF('Permitted Diesel Engines'!C11="","",'Permitted Diesel Engines'!C11)</f>
      </c>
      <c r="C79" s="11">
        <f>IF('Permitted Diesel Engines'!C11="","",LOOKUP('Permitted Diesel Engines'!C11,'Emission Factors'!$A$42:$A$43,'Emission Factors'!$B$42:$B$43))</f>
      </c>
      <c r="D79" s="11">
        <f>IF('Permitted Diesel Engines'!C11="","",'Permitted Diesel Engines'!K11)</f>
      </c>
      <c r="E79" s="11">
        <f>IF('Permitted Diesel Engines'!C11="","","MMBtu/hr")</f>
      </c>
      <c r="F79" s="11">
        <f>IF('Permitted Diesel Engines'!C11="","",LOOKUP('Permitted Diesel Engines'!C11,'Emission Factors'!$A$42:$A$43,'Emission Factors'!$P$42:$P$43))</f>
      </c>
      <c r="G79" s="11">
        <f>IF('Permitted Diesel Engines'!C11="","",LOOKUP('Permitted Diesel Engines'!C11,'Emission Factors'!$A$42:$A$43,'Emission Factors'!$C$42:$C$43))</f>
      </c>
      <c r="H79" s="108">
        <f>IF('Permitted Diesel Engines'!C11="","",LOOKUP('Permitted Diesel Engines'!C11,'Emission Factors'!$A$42:$A$43,'Emission Factors'!$Q$42:$Q$43))</f>
      </c>
      <c r="I79" s="14">
        <f>IF('Permitted Diesel Engines'!C11="","",D79*F79)</f>
      </c>
      <c r="J79" s="11"/>
      <c r="K79" s="54"/>
      <c r="L79" s="54">
        <f>IF(F79="","",IF('Permitted Diesel Engines'!$D$3&gt;0,"",IF('Permitted Diesel Engines'!E11&gt;0,'Permitted Diesel Engines'!E11*'Emission Calculations'!F79*D79/2000,'Emission Calculations'!I79*8760/2000)))</f>
      </c>
      <c r="M79" s="54">
        <f>IF('Permitted Diesel Engines'!C11="","",'Permitted Diesel Engines'!L11*0.14*'Emission Calculations'!F79/2000)</f>
      </c>
    </row>
    <row r="80" spans="1:13" ht="15">
      <c r="A80" s="18">
        <f>IF('Permitted Diesel Engines'!A12="","",'Permitted Diesel Engines'!A12)</f>
      </c>
      <c r="B80" s="12">
        <f>IF('Permitted Diesel Engines'!C12="","",'Permitted Diesel Engines'!C12)</f>
      </c>
      <c r="C80" s="11">
        <f>IF('Permitted Diesel Engines'!C12="","",LOOKUP('Permitted Diesel Engines'!C12,'Emission Factors'!$A$42:$A$43,'Emission Factors'!$B$42:$B$43))</f>
      </c>
      <c r="D80" s="11">
        <f>IF('Permitted Diesel Engines'!C12="","",'Permitted Diesel Engines'!K12)</f>
      </c>
      <c r="E80" s="11">
        <f>IF('Permitted Diesel Engines'!C12="","","MMBtu/hr")</f>
      </c>
      <c r="F80" s="11">
        <f>IF('Permitted Diesel Engines'!C12="","",LOOKUP('Permitted Diesel Engines'!C12,'Emission Factors'!$A$42:$A$43,'Emission Factors'!$P$42:$P$43))</f>
      </c>
      <c r="G80" s="11">
        <f>IF('Permitted Diesel Engines'!C12="","",LOOKUP('Permitted Diesel Engines'!C12,'Emission Factors'!$A$42:$A$43,'Emission Factors'!$C$42:$C$43))</f>
      </c>
      <c r="H80" s="108">
        <f>IF('Permitted Diesel Engines'!C12="","",LOOKUP('Permitted Diesel Engines'!C12,'Emission Factors'!$A$42:$A$43,'Emission Factors'!$Q$42:$Q$43))</f>
      </c>
      <c r="I80" s="14">
        <f>IF('Permitted Diesel Engines'!C12="","",D80*F80)</f>
      </c>
      <c r="J80" s="11"/>
      <c r="K80" s="54"/>
      <c r="L80" s="54">
        <f>IF(F80="","",IF('Permitted Diesel Engines'!$D$3&gt;0,"",IF('Permitted Diesel Engines'!E12&gt;0,'Permitted Diesel Engines'!E12*'Emission Calculations'!F80*D80/2000,'Emission Calculations'!I80*8760/2000)))</f>
      </c>
      <c r="M80" s="54">
        <f>IF('Permitted Diesel Engines'!C12="","",'Permitted Diesel Engines'!L12*0.14*'Emission Calculations'!F80/2000)</f>
      </c>
    </row>
    <row r="81" spans="1:13" ht="15">
      <c r="A81" s="18">
        <f>IF('Permitted Diesel Engines'!A13="","",'Permitted Diesel Engines'!A13)</f>
      </c>
      <c r="B81" s="12">
        <f>IF('Permitted Diesel Engines'!C13="","",'Permitted Diesel Engines'!C13)</f>
      </c>
      <c r="C81" s="11">
        <f>IF('Permitted Diesel Engines'!C13="","",LOOKUP('Permitted Diesel Engines'!C13,'Emission Factors'!$A$42:$A$43,'Emission Factors'!$B$42:$B$43))</f>
      </c>
      <c r="D81" s="11">
        <f>IF('Permitted Diesel Engines'!C13="","",'Permitted Diesel Engines'!K13)</f>
      </c>
      <c r="E81" s="11">
        <f>IF('Permitted Diesel Engines'!C13="","","MMBtu/hr")</f>
      </c>
      <c r="F81" s="11">
        <f>IF('Permitted Diesel Engines'!C13="","",LOOKUP('Permitted Diesel Engines'!C13,'Emission Factors'!$A$42:$A$43,'Emission Factors'!$P$42:$P$43))</f>
      </c>
      <c r="G81" s="11">
        <f>IF('Permitted Diesel Engines'!C13="","",LOOKUP('Permitted Diesel Engines'!C13,'Emission Factors'!$A$42:$A$43,'Emission Factors'!$C$42:$C$43))</f>
      </c>
      <c r="H81" s="108">
        <f>IF('Permitted Diesel Engines'!C13="","",LOOKUP('Permitted Diesel Engines'!C13,'Emission Factors'!$A$42:$A$43,'Emission Factors'!$Q$42:$Q$43))</f>
      </c>
      <c r="I81" s="14">
        <f>IF('Permitted Diesel Engines'!C13="","",D81*F81)</f>
      </c>
      <c r="J81" s="11"/>
      <c r="K81" s="54"/>
      <c r="L81" s="54">
        <f>IF(F81="","",IF('Permitted Diesel Engines'!$D$3&gt;0,"",IF('Permitted Diesel Engines'!E13&gt;0,'Permitted Diesel Engines'!E13*'Emission Calculations'!F81*D81/2000,'Emission Calculations'!I81*8760/2000)))</f>
      </c>
      <c r="M81" s="54">
        <f>IF('Permitted Diesel Engines'!C13="","",'Permitted Diesel Engines'!L13*0.14*'Emission Calculations'!F81/2000)</f>
      </c>
    </row>
    <row r="82" spans="1:13" ht="15">
      <c r="A82" s="64"/>
      <c r="B82" s="22"/>
      <c r="C82" s="23"/>
      <c r="D82" s="23"/>
      <c r="E82" s="23"/>
      <c r="F82" s="23"/>
      <c r="G82" s="23"/>
      <c r="H82" s="109"/>
      <c r="I82" s="65"/>
      <c r="J82" s="23"/>
      <c r="K82" s="16" t="s">
        <v>39</v>
      </c>
      <c r="L82" s="54">
        <f>SUM(L77:L81)</f>
        <v>0</v>
      </c>
      <c r="M82" s="54">
        <f>SUM(M77:M81)</f>
        <v>0</v>
      </c>
    </row>
    <row r="83" spans="1:13" ht="15.75">
      <c r="A83" s="181" t="s">
        <v>125</v>
      </c>
      <c r="B83" s="181"/>
      <c r="C83" s="9"/>
      <c r="D83" s="10"/>
      <c r="E83" s="10"/>
      <c r="F83" s="10"/>
      <c r="G83" s="10"/>
      <c r="H83" s="110"/>
      <c r="I83" s="15"/>
      <c r="J83" s="10"/>
      <c r="K83" s="13"/>
      <c r="L83" s="13"/>
      <c r="M83" s="13"/>
    </row>
    <row r="84" spans="1:13" ht="15">
      <c r="A84" s="18">
        <f>IF('Permitted Diesel Engines'!A9="","",'Permitted Diesel Engines'!A9)</f>
      </c>
      <c r="B84" s="12">
        <f>IF('Permitted Diesel Engines'!C9="","",'Permitted Diesel Engines'!C9)</f>
      </c>
      <c r="C84" s="11">
        <f>IF('Permitted Diesel Engines'!C9="","",LOOKUP('Permitted Diesel Engines'!C9,'Emission Factors'!$A$42:$A$43,'Emission Factors'!$B$42:$B$43))</f>
      </c>
      <c r="D84" s="11">
        <f>IF('Permitted Diesel Engines'!C9="","",'Permitted Diesel Engines'!K9)</f>
      </c>
      <c r="E84" s="11">
        <f>IF('Permitted Diesel Engines'!C9="","","MMBtu/hr")</f>
      </c>
      <c r="F84" s="11">
        <f>IF('Permitted Diesel Engines'!C9="","",LOOKUP('Permitted Diesel Engines'!C9,'Emission Factors'!$A$42:$A$43,'Emission Factors'!$R$42:$R$43))</f>
      </c>
      <c r="G84" s="11">
        <f>IF('Permitted Diesel Engines'!C9="","",LOOKUP('Permitted Diesel Engines'!C9,'Emission Factors'!$A$42:$A$43,'Emission Factors'!$C$42:$C$43))</f>
      </c>
      <c r="H84" s="108">
        <f>IF('Permitted Diesel Engines'!C9="","",LOOKUP('Permitted Diesel Engines'!C9,'Emission Factors'!$A$42:$A$43,'Emission Factors'!$S$42:$S$43))</f>
      </c>
      <c r="I84" s="14">
        <f>IF('Permitted Diesel Engines'!C9="","",D84*F84)</f>
      </c>
      <c r="J84" s="11"/>
      <c r="K84" s="54"/>
      <c r="L84" s="68">
        <f>IF(F84="","",IF('Permitted Diesel Engines'!D3&gt;0,IF('Permitted Diesel Engines'!N12&gt;0,'Permitted Diesel Engines'!D3*0.14*'Emission Factors'!R43/2000,'Permitted Diesel Engines'!D3*0.14*'Emission Factors'!R42/2000),IF('Permitted Diesel Engines'!E9&gt;0,'Permitted Diesel Engines'!E9*'Emission Calculations'!F84*D84/2000,'Emission Calculations'!I84*8760/2000)))</f>
      </c>
      <c r="M84" s="54">
        <f>IF('Permitted Diesel Engines'!C9="","",'Permitted Diesel Engines'!L9*0.14*'Emission Calculations'!F84/2000)</f>
      </c>
    </row>
    <row r="85" spans="1:13" ht="15">
      <c r="A85" s="18">
        <f>IF('Permitted Diesel Engines'!A10="","",'Permitted Diesel Engines'!A10)</f>
      </c>
      <c r="B85" s="12">
        <f>IF('Permitted Diesel Engines'!C10="","",'Permitted Diesel Engines'!C10)</f>
      </c>
      <c r="C85" s="11">
        <f>IF('Permitted Diesel Engines'!C10="","",LOOKUP('Permitted Diesel Engines'!C10,'Emission Factors'!$A$42:$A$43,'Emission Factors'!$B$42:$B$43))</f>
      </c>
      <c r="D85" s="11">
        <f>IF('Permitted Diesel Engines'!C10="","",'Permitted Diesel Engines'!K10)</f>
      </c>
      <c r="E85" s="11">
        <f>IF('Permitted Diesel Engines'!C10="","","MMBtu/hr")</f>
      </c>
      <c r="F85" s="11">
        <f>IF('Permitted Diesel Engines'!C10="","",LOOKUP('Permitted Diesel Engines'!C10,'Emission Factors'!$A$42:$A$43,'Emission Factors'!$R$42:$R$43))</f>
      </c>
      <c r="G85" s="11">
        <f>IF('Permitted Diesel Engines'!C10="","",LOOKUP('Permitted Diesel Engines'!C10,'Emission Factors'!$A$42:$A$43,'Emission Factors'!$C$42:$C$43))</f>
      </c>
      <c r="H85" s="108">
        <f>IF('Permitted Diesel Engines'!C10="","",LOOKUP('Permitted Diesel Engines'!C10,'Emission Factors'!$A$42:$A$43,'Emission Factors'!$S$42:$S$43))</f>
      </c>
      <c r="I85" s="14">
        <f>IF('Permitted Diesel Engines'!C10="","",D85*F85)</f>
      </c>
      <c r="J85" s="11"/>
      <c r="K85" s="54"/>
      <c r="L85" s="54">
        <f>IF(F85="","",IF('Permitted Diesel Engines'!$D$3&gt;0,"",IF('Permitted Diesel Engines'!E10&gt;0,'Permitted Diesel Engines'!E10*'Emission Calculations'!F85*D85/2000,'Emission Calculations'!I85*8760/2000)))</f>
      </c>
      <c r="M85" s="54">
        <f>IF('Permitted Diesel Engines'!C10="","",'Permitted Diesel Engines'!L10*0.14*'Emission Calculations'!F85/2000)</f>
      </c>
    </row>
    <row r="86" spans="1:13" ht="15">
      <c r="A86" s="18">
        <f>IF('Permitted Diesel Engines'!A11="","",'Permitted Diesel Engines'!A11)</f>
      </c>
      <c r="B86" s="12">
        <f>IF('Permitted Diesel Engines'!C11="","",'Permitted Diesel Engines'!C11)</f>
      </c>
      <c r="C86" s="11">
        <f>IF('Permitted Diesel Engines'!C11="","",LOOKUP('Permitted Diesel Engines'!C11,'Emission Factors'!$A$42:$A$43,'Emission Factors'!$B$42:$B$43))</f>
      </c>
      <c r="D86" s="11">
        <f>IF('Permitted Diesel Engines'!C11="","",'Permitted Diesel Engines'!K11)</f>
      </c>
      <c r="E86" s="11">
        <f>IF('Permitted Diesel Engines'!C11="","","MMBtu/hr")</f>
      </c>
      <c r="F86" s="11">
        <f>IF('Permitted Diesel Engines'!C11="","",LOOKUP('Permitted Diesel Engines'!C11,'Emission Factors'!$A$42:$A$43,'Emission Factors'!$R$42:$R$43))</f>
      </c>
      <c r="G86" s="11">
        <f>IF('Permitted Diesel Engines'!C11="","",LOOKUP('Permitted Diesel Engines'!C11,'Emission Factors'!$A$42:$A$43,'Emission Factors'!$C$42:$C$43))</f>
      </c>
      <c r="H86" s="108">
        <f>IF('Permitted Diesel Engines'!C11="","",LOOKUP('Permitted Diesel Engines'!C11,'Emission Factors'!$A$42:$A$43,'Emission Factors'!$S$42:$S$43))</f>
      </c>
      <c r="I86" s="14">
        <f>IF('Permitted Diesel Engines'!C11="","",D86*F86)</f>
      </c>
      <c r="J86" s="11"/>
      <c r="K86" s="54"/>
      <c r="L86" s="54">
        <f>IF(F86="","",IF('Permitted Diesel Engines'!$D$3&gt;0,"",IF('Permitted Diesel Engines'!E11&gt;0,'Permitted Diesel Engines'!E11*'Emission Calculations'!F86*D86/2000,'Emission Calculations'!I86*8760/2000)))</f>
      </c>
      <c r="M86" s="54">
        <f>IF('Permitted Diesel Engines'!C11="","",'Permitted Diesel Engines'!L11*0.14*'Emission Calculations'!F86/2000)</f>
      </c>
    </row>
    <row r="87" spans="1:13" ht="15">
      <c r="A87" s="18">
        <f>IF('Permitted Diesel Engines'!A12="","",'Permitted Diesel Engines'!A12)</f>
      </c>
      <c r="B87" s="12">
        <f>IF('Permitted Diesel Engines'!C12="","",'Permitted Diesel Engines'!C12)</f>
      </c>
      <c r="C87" s="11">
        <f>IF('Permitted Diesel Engines'!C12="","",LOOKUP('Permitted Diesel Engines'!C12,'Emission Factors'!$A$42:$A$43,'Emission Factors'!$B$42:$B$43))</f>
      </c>
      <c r="D87" s="11">
        <f>IF('Permitted Diesel Engines'!C12="","",'Permitted Diesel Engines'!K12)</f>
      </c>
      <c r="E87" s="11">
        <f>IF('Permitted Diesel Engines'!C12="","","MMBtu/hr")</f>
      </c>
      <c r="F87" s="11">
        <f>IF('Permitted Diesel Engines'!C12="","",LOOKUP('Permitted Diesel Engines'!C12,'Emission Factors'!$A$42:$A$43,'Emission Factors'!$R$42:$R$43))</f>
      </c>
      <c r="G87" s="11">
        <f>IF('Permitted Diesel Engines'!C12="","",LOOKUP('Permitted Diesel Engines'!C12,'Emission Factors'!$A$42:$A$43,'Emission Factors'!$C$42:$C$43))</f>
      </c>
      <c r="H87" s="108">
        <f>IF('Permitted Diesel Engines'!C12="","",LOOKUP('Permitted Diesel Engines'!C12,'Emission Factors'!$A$42:$A$43,'Emission Factors'!$S$42:$S$43))</f>
      </c>
      <c r="I87" s="14">
        <f>IF('Permitted Diesel Engines'!C12="","",D87*F87)</f>
      </c>
      <c r="J87" s="11"/>
      <c r="K87" s="54"/>
      <c r="L87" s="54">
        <f>IF(F87="","",IF('Permitted Diesel Engines'!$D$3&gt;0,"",IF('Permitted Diesel Engines'!E12&gt;0,'Permitted Diesel Engines'!E12*'Emission Calculations'!F87*D87/2000,'Emission Calculations'!I87*8760/2000)))</f>
      </c>
      <c r="M87" s="54">
        <f>IF('Permitted Diesel Engines'!C12="","",'Permitted Diesel Engines'!L12*0.14*'Emission Calculations'!F87/2000)</f>
      </c>
    </row>
    <row r="88" spans="1:13" ht="15">
      <c r="A88" s="18">
        <f>IF('Permitted Diesel Engines'!A13="","",'Permitted Diesel Engines'!A13)</f>
      </c>
      <c r="B88" s="12">
        <f>IF('Permitted Diesel Engines'!C13="","",'Permitted Diesel Engines'!C13)</f>
      </c>
      <c r="C88" s="11">
        <f>IF('Permitted Diesel Engines'!C13="","",LOOKUP('Permitted Diesel Engines'!C13,'Emission Factors'!$A$42:$A$43,'Emission Factors'!$B$42:$B$43))</f>
      </c>
      <c r="D88" s="11">
        <f>IF('Permitted Diesel Engines'!C13="","",'Permitted Diesel Engines'!K13)</f>
      </c>
      <c r="E88" s="11">
        <f>IF('Permitted Diesel Engines'!C13="","","MMBtu/hr")</f>
      </c>
      <c r="F88" s="11">
        <f>IF('Permitted Diesel Engines'!C13="","",LOOKUP('Permitted Diesel Engines'!C13,'Emission Factors'!$A$42:$A$43,'Emission Factors'!$R$42:$R$43))</f>
      </c>
      <c r="G88" s="11">
        <f>IF('Permitted Diesel Engines'!C13="","",LOOKUP('Permitted Diesel Engines'!C13,'Emission Factors'!$A$42:$A$43,'Emission Factors'!$C$42:$C$43))</f>
      </c>
      <c r="H88" s="108">
        <f>IF('Permitted Diesel Engines'!C13="","",LOOKUP('Permitted Diesel Engines'!C13,'Emission Factors'!$A$42:$A$43,'Emission Factors'!$S$42:$S$43))</f>
      </c>
      <c r="I88" s="14">
        <f>IF('Permitted Diesel Engines'!C13="","",D88*F88)</f>
      </c>
      <c r="J88" s="11"/>
      <c r="K88" s="54"/>
      <c r="L88" s="54">
        <f>IF(F88="","",IF('Permitted Diesel Engines'!$D$3&gt;0,"",IF('Permitted Diesel Engines'!E13&gt;0,'Permitted Diesel Engines'!E13*'Emission Calculations'!F88*D88/2000,'Emission Calculations'!I88*8760/2000)))</f>
      </c>
      <c r="M88" s="54">
        <f>IF('Permitted Diesel Engines'!C13="","",'Permitted Diesel Engines'!L13*0.14*'Emission Calculations'!F88/2000)</f>
      </c>
    </row>
    <row r="89" spans="4:13" ht="15">
      <c r="D89" s="125"/>
      <c r="E89" s="125"/>
      <c r="G89" s="125"/>
      <c r="H89" s="125"/>
      <c r="I89" s="125"/>
      <c r="J89" s="125"/>
      <c r="K89" s="16" t="s">
        <v>39</v>
      </c>
      <c r="L89" s="54">
        <f>SUM(L84:L88)</f>
        <v>0</v>
      </c>
      <c r="M89" s="54">
        <f>SUM(M84:M88)</f>
        <v>0</v>
      </c>
    </row>
    <row r="90" spans="4:12" ht="15">
      <c r="D90" s="125"/>
      <c r="E90" s="125"/>
      <c r="G90" s="125"/>
      <c r="H90" s="125"/>
      <c r="I90" s="125"/>
      <c r="J90" s="125"/>
      <c r="K90" s="125"/>
      <c r="L90" s="125"/>
    </row>
    <row r="91" spans="4:12" ht="15">
      <c r="D91" s="125"/>
      <c r="E91" s="125"/>
      <c r="G91" s="125"/>
      <c r="H91" s="125"/>
      <c r="I91" s="125"/>
      <c r="J91" s="125"/>
      <c r="K91" s="125"/>
      <c r="L91" s="125"/>
    </row>
    <row r="92" spans="4:12" ht="15">
      <c r="D92" s="125"/>
      <c r="E92" s="125"/>
      <c r="G92" s="125"/>
      <c r="H92" s="125"/>
      <c r="I92" s="125"/>
      <c r="J92" s="125"/>
      <c r="K92" s="125"/>
      <c r="L92" s="125"/>
    </row>
    <row r="93" spans="4:12" ht="15">
      <c r="D93" s="125"/>
      <c r="E93" s="125"/>
      <c r="G93" s="125"/>
      <c r="H93" s="125"/>
      <c r="I93" s="125"/>
      <c r="J93" s="125"/>
      <c r="K93" s="125"/>
      <c r="L93" s="125"/>
    </row>
    <row r="94" spans="4:12" ht="15">
      <c r="D94" s="125"/>
      <c r="E94" s="125"/>
      <c r="G94" s="125"/>
      <c r="H94" s="125"/>
      <c r="I94" s="125"/>
      <c r="J94" s="125"/>
      <c r="K94" s="125"/>
      <c r="L94" s="125"/>
    </row>
    <row r="95" spans="4:12" ht="15">
      <c r="D95" s="125"/>
      <c r="E95" s="125"/>
      <c r="G95" s="125"/>
      <c r="H95" s="125"/>
      <c r="I95" s="125"/>
      <c r="J95" s="125"/>
      <c r="K95" s="125"/>
      <c r="L95" s="125"/>
    </row>
    <row r="96" spans="4:12" ht="15">
      <c r="D96" s="125"/>
      <c r="E96" s="125"/>
      <c r="G96" s="125"/>
      <c r="H96" s="125"/>
      <c r="I96" s="125"/>
      <c r="J96" s="125"/>
      <c r="K96" s="125"/>
      <c r="L96" s="125"/>
    </row>
    <row r="97" spans="4:12" ht="15">
      <c r="D97" s="125"/>
      <c r="E97" s="125"/>
      <c r="G97" s="125"/>
      <c r="H97" s="125"/>
      <c r="I97" s="125"/>
      <c r="J97" s="125"/>
      <c r="K97" s="125"/>
      <c r="L97" s="125"/>
    </row>
    <row r="98" spans="4:12" ht="15">
      <c r="D98" s="125"/>
      <c r="E98" s="125"/>
      <c r="G98" s="125"/>
      <c r="H98" s="125"/>
      <c r="I98" s="125"/>
      <c r="J98" s="125"/>
      <c r="K98" s="125"/>
      <c r="L98" s="125"/>
    </row>
    <row r="99" spans="4:12" ht="15">
      <c r="D99" s="125"/>
      <c r="E99" s="125"/>
      <c r="G99" s="125"/>
      <c r="H99" s="125"/>
      <c r="I99" s="125"/>
      <c r="J99" s="125"/>
      <c r="K99" s="125"/>
      <c r="L99" s="125"/>
    </row>
    <row r="100" spans="4:12" ht="15">
      <c r="D100" s="125"/>
      <c r="E100" s="125"/>
      <c r="G100" s="125"/>
      <c r="H100" s="125"/>
      <c r="I100" s="125"/>
      <c r="J100" s="125"/>
      <c r="K100" s="125"/>
      <c r="L100" s="125"/>
    </row>
    <row r="101" spans="4:12" ht="15">
      <c r="D101" s="125"/>
      <c r="E101" s="125"/>
      <c r="G101" s="125"/>
      <c r="H101" s="125"/>
      <c r="I101" s="125"/>
      <c r="J101" s="125"/>
      <c r="K101" s="125"/>
      <c r="L101" s="125"/>
    </row>
    <row r="102" spans="4:5" ht="15">
      <c r="D102" s="125"/>
      <c r="E102" s="125"/>
    </row>
    <row r="103" spans="4:5" ht="15">
      <c r="D103" s="125"/>
      <c r="E103" s="125"/>
    </row>
    <row r="104" spans="4:5" ht="15">
      <c r="D104" s="125"/>
      <c r="E104" s="125"/>
    </row>
    <row r="105" spans="4:5" ht="15">
      <c r="D105" s="125"/>
      <c r="E105" s="125"/>
    </row>
    <row r="106" spans="4:5" ht="15">
      <c r="D106" s="125"/>
      <c r="E106" s="125"/>
    </row>
    <row r="107" spans="4:5" ht="15">
      <c r="D107" s="125"/>
      <c r="E107" s="125"/>
    </row>
    <row r="108" spans="4:5" ht="15">
      <c r="D108" s="125"/>
      <c r="E108" s="125"/>
    </row>
    <row r="109" spans="4:5" ht="15">
      <c r="D109" s="125"/>
      <c r="E109" s="125"/>
    </row>
    <row r="110" spans="4:5" ht="15">
      <c r="D110" s="125"/>
      <c r="E110" s="125"/>
    </row>
    <row r="111" spans="4:5" ht="15">
      <c r="D111" s="125"/>
      <c r="E111" s="125"/>
    </row>
    <row r="112" spans="4:5" ht="15">
      <c r="D112" s="125"/>
      <c r="E112" s="125"/>
    </row>
    <row r="113" spans="4:5" ht="15">
      <c r="D113" s="125"/>
      <c r="E113" s="125"/>
    </row>
    <row r="114" spans="4:5" ht="15">
      <c r="D114" s="125"/>
      <c r="E114" s="125"/>
    </row>
    <row r="115" spans="4:5" ht="15">
      <c r="D115" s="125"/>
      <c r="E115" s="125"/>
    </row>
    <row r="116" spans="4:5" ht="15">
      <c r="D116" s="125"/>
      <c r="E116" s="125"/>
    </row>
    <row r="117" spans="4:5" ht="15">
      <c r="D117" s="125"/>
      <c r="E117" s="125"/>
    </row>
    <row r="118" spans="4:5" ht="15">
      <c r="D118" s="125"/>
      <c r="E118" s="125"/>
    </row>
    <row r="119" spans="4:5" ht="15">
      <c r="D119" s="125"/>
      <c r="E119" s="125"/>
    </row>
    <row r="120" spans="4:5" ht="15">
      <c r="D120" s="125"/>
      <c r="E120" s="125"/>
    </row>
    <row r="121" spans="4:5" ht="15">
      <c r="D121" s="125"/>
      <c r="E121" s="125"/>
    </row>
    <row r="122" spans="4:5" ht="15">
      <c r="D122" s="125"/>
      <c r="E122" s="125"/>
    </row>
    <row r="123" spans="4:5" ht="15">
      <c r="D123" s="125"/>
      <c r="E123" s="125"/>
    </row>
  </sheetData>
  <sheetProtection password="C413" sheet="1"/>
  <mergeCells count="49">
    <mergeCell ref="I45:I47"/>
    <mergeCell ref="K24:K26"/>
    <mergeCell ref="K45:K47"/>
    <mergeCell ref="J46:J47"/>
    <mergeCell ref="B25:B26"/>
    <mergeCell ref="C25:C26"/>
    <mergeCell ref="D25:D26"/>
    <mergeCell ref="H25:H26"/>
    <mergeCell ref="H46:H47"/>
    <mergeCell ref="K3:K5"/>
    <mergeCell ref="I3:I5"/>
    <mergeCell ref="I24:I26"/>
    <mergeCell ref="G4:G5"/>
    <mergeCell ref="J4:J5"/>
    <mergeCell ref="G25:G26"/>
    <mergeCell ref="L3:L5"/>
    <mergeCell ref="M3:M5"/>
    <mergeCell ref="L24:L26"/>
    <mergeCell ref="H4:H5"/>
    <mergeCell ref="J25:J26"/>
    <mergeCell ref="D46:D47"/>
    <mergeCell ref="F4:F5"/>
    <mergeCell ref="M24:M26"/>
    <mergeCell ref="L45:L47"/>
    <mergeCell ref="M45:M47"/>
    <mergeCell ref="B4:B5"/>
    <mergeCell ref="E25:E26"/>
    <mergeCell ref="F25:F26"/>
    <mergeCell ref="A4:A5"/>
    <mergeCell ref="C4:C5"/>
    <mergeCell ref="D4:D5"/>
    <mergeCell ref="E4:E5"/>
    <mergeCell ref="A25:A26"/>
    <mergeCell ref="A1:C1"/>
    <mergeCell ref="D54:E54"/>
    <mergeCell ref="A3:B3"/>
    <mergeCell ref="A24:B24"/>
    <mergeCell ref="A48:B48"/>
    <mergeCell ref="A55:B55"/>
    <mergeCell ref="E46:E47"/>
    <mergeCell ref="A46:A47"/>
    <mergeCell ref="B46:B47"/>
    <mergeCell ref="C46:C47"/>
    <mergeCell ref="A69:B69"/>
    <mergeCell ref="A76:B76"/>
    <mergeCell ref="A83:B83"/>
    <mergeCell ref="A62:B62"/>
    <mergeCell ref="F46:F47"/>
    <mergeCell ref="G46:G47"/>
  </mergeCells>
  <printOptions/>
  <pageMargins left="0.7" right="0.7" top="0.75" bottom="0.75" header="0.3" footer="0.3"/>
  <pageSetup horizontalDpi="600" verticalDpi="600" orientation="portrait" r:id="rId1"/>
  <ignoredErrors>
    <ignoredError sqref="F18:F21 H14 H3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9.140625" style="44" customWidth="1"/>
    <col min="2" max="2" width="14.00390625" style="44" bestFit="1" customWidth="1"/>
    <col min="3" max="4" width="9.140625" style="44" customWidth="1"/>
    <col min="5" max="5" width="10.421875" style="44" customWidth="1"/>
    <col min="6" max="6" width="9.140625" style="44" customWidth="1"/>
    <col min="7" max="7" width="14.00390625" style="44" bestFit="1" customWidth="1"/>
    <col min="8" max="9" width="9.140625" style="44" customWidth="1"/>
    <col min="10" max="10" width="9.8515625" style="44" customWidth="1"/>
    <col min="11" max="16384" width="9.140625" style="44" customWidth="1"/>
  </cols>
  <sheetData>
    <row r="1" spans="1:5" ht="21.75" customHeight="1">
      <c r="A1" s="187" t="s">
        <v>164</v>
      </c>
      <c r="B1" s="187"/>
      <c r="C1" s="187"/>
      <c r="D1" s="187"/>
      <c r="E1" s="187"/>
    </row>
    <row r="2" spans="1:5" ht="18" customHeight="1" thickBot="1">
      <c r="A2" s="205" t="s">
        <v>188</v>
      </c>
      <c r="B2" s="128"/>
      <c r="C2" s="128"/>
      <c r="D2" s="128"/>
      <c r="E2" s="128"/>
    </row>
    <row r="3" spans="2:5" ht="15.75" thickBot="1">
      <c r="B3" s="199" t="s">
        <v>27</v>
      </c>
      <c r="C3" s="200"/>
      <c r="D3" s="200"/>
      <c r="E3" s="201"/>
    </row>
    <row r="4" spans="2:5" ht="15">
      <c r="B4" s="7" t="s">
        <v>29</v>
      </c>
      <c r="C4" s="202" t="s">
        <v>30</v>
      </c>
      <c r="D4" s="203"/>
      <c r="E4" s="8" t="s">
        <v>31</v>
      </c>
    </row>
    <row r="5" spans="2:7" ht="15">
      <c r="B5" s="2" t="s">
        <v>32</v>
      </c>
      <c r="C5" s="197" t="s">
        <v>32</v>
      </c>
      <c r="D5" s="198"/>
      <c r="E5" s="3">
        <f>'Emission Calculations'!L22</f>
        <v>0</v>
      </c>
      <c r="G5" s="1">
        <f aca="true" t="shared" si="0" ref="G5:G10">IF(E5&gt;100,"Potential Emissions are greater than Title V thresholds. Please contact the IAEAP or the Iowa DNR for assistance","")</f>
      </c>
    </row>
    <row r="6" spans="2:7" ht="15">
      <c r="B6" s="4" t="s">
        <v>33</v>
      </c>
      <c r="C6" s="190" t="s">
        <v>33</v>
      </c>
      <c r="D6" s="191"/>
      <c r="E6" s="3">
        <f>'Emission Calculations'!L43</f>
        <v>0</v>
      </c>
      <c r="G6" s="1">
        <f t="shared" si="0"/>
      </c>
    </row>
    <row r="7" spans="2:7" ht="15">
      <c r="B7" s="4" t="s">
        <v>11</v>
      </c>
      <c r="C7" s="188" t="s">
        <v>34</v>
      </c>
      <c r="D7" s="189"/>
      <c r="E7" s="3">
        <f>'Emission Calculations'!L54</f>
        <v>0</v>
      </c>
      <c r="G7" s="1">
        <f t="shared" si="0"/>
      </c>
    </row>
    <row r="8" spans="2:7" ht="15">
      <c r="B8" s="4" t="s">
        <v>35</v>
      </c>
      <c r="C8" s="188" t="s">
        <v>35</v>
      </c>
      <c r="D8" s="189"/>
      <c r="E8" s="3">
        <f>'Emission Calculations'!L61</f>
        <v>0</v>
      </c>
      <c r="G8" s="1">
        <f t="shared" si="0"/>
      </c>
    </row>
    <row r="9" spans="2:7" ht="15">
      <c r="B9" s="4" t="s">
        <v>13</v>
      </c>
      <c r="C9" s="188" t="s">
        <v>13</v>
      </c>
      <c r="D9" s="189"/>
      <c r="E9" s="3">
        <f>'Emission Calculations'!L68</f>
        <v>0</v>
      </c>
      <c r="G9" s="1">
        <f t="shared" si="0"/>
      </c>
    </row>
    <row r="10" spans="2:7" ht="15">
      <c r="B10" s="4" t="s">
        <v>14</v>
      </c>
      <c r="C10" s="188" t="s">
        <v>36</v>
      </c>
      <c r="D10" s="189"/>
      <c r="E10" s="3">
        <f>'Emission Calculations'!L75</f>
        <v>0</v>
      </c>
      <c r="G10" s="1">
        <f t="shared" si="0"/>
      </c>
    </row>
    <row r="11" spans="2:7" ht="15">
      <c r="B11" s="4" t="s">
        <v>15</v>
      </c>
      <c r="C11" s="188"/>
      <c r="D11" s="196"/>
      <c r="E11" s="3">
        <f>0</f>
        <v>0</v>
      </c>
      <c r="G11" s="1">
        <f>IF(E11&gt;10,"Potential Emissions are greater than Title V thresholds. Please contact the IAEAP or the Iowa DNR for assistance","")</f>
      </c>
    </row>
    <row r="12" spans="2:7" ht="15">
      <c r="B12" s="4" t="s">
        <v>16</v>
      </c>
      <c r="C12" s="188" t="s">
        <v>37</v>
      </c>
      <c r="D12" s="189"/>
      <c r="E12" s="3">
        <f>'Emission Calculations'!L82</f>
        <v>0</v>
      </c>
      <c r="G12" s="1">
        <f>IF(E12&gt;10,"Potential Emissions are greater than Title V thresholds. Please contact the IAEAP or the Iowa DNR for assistance","")</f>
      </c>
    </row>
    <row r="13" spans="2:7" ht="15">
      <c r="B13" s="69" t="s">
        <v>125</v>
      </c>
      <c r="C13" s="194" t="s">
        <v>163</v>
      </c>
      <c r="D13" s="195"/>
      <c r="E13" s="70">
        <f>'Emission Calculations'!L89</f>
        <v>0</v>
      </c>
      <c r="G13" s="1">
        <f>IF(E13&gt;10,"Potential Emissions are greater than Title V thresholds. Please contact the IAEAP or the Iowa DNR for assistance","")</f>
      </c>
    </row>
    <row r="14" spans="2:7" ht="15.75" thickBot="1">
      <c r="B14" s="5" t="s">
        <v>38</v>
      </c>
      <c r="C14" s="192"/>
      <c r="D14" s="193"/>
      <c r="E14" s="6">
        <f>SUM(E12:E13)</f>
        <v>0</v>
      </c>
      <c r="G14" s="1">
        <f>IF(E14&gt;25,"Potential Emissions are greater than Title V thresholds. Please contact the IAEAP or the Iowa DNR for assistance","")</f>
      </c>
    </row>
    <row r="16" ht="15.75" thickBot="1"/>
    <row r="17" spans="2:5" ht="15.75" thickBot="1">
      <c r="B17" s="199" t="s">
        <v>28</v>
      </c>
      <c r="C17" s="200"/>
      <c r="D17" s="200"/>
      <c r="E17" s="201"/>
    </row>
    <row r="18" spans="2:5" ht="15">
      <c r="B18" s="7" t="s">
        <v>29</v>
      </c>
      <c r="C18" s="202" t="s">
        <v>30</v>
      </c>
      <c r="D18" s="203"/>
      <c r="E18" s="8" t="s">
        <v>31</v>
      </c>
    </row>
    <row r="19" spans="2:7" ht="15">
      <c r="B19" s="4" t="s">
        <v>32</v>
      </c>
      <c r="C19" s="197" t="s">
        <v>32</v>
      </c>
      <c r="D19" s="198"/>
      <c r="E19" s="3">
        <f>'Emission Calculations'!M22</f>
        <v>0</v>
      </c>
      <c r="G19" s="1">
        <f>IF(E19&lt;=E5,"","Actual Emissions are greater than Potential Emissions. Please contact the IAEAP or the Iowa DNR for assistance")</f>
      </c>
    </row>
    <row r="20" spans="2:7" ht="15">
      <c r="B20" s="4" t="s">
        <v>33</v>
      </c>
      <c r="C20" s="190" t="s">
        <v>33</v>
      </c>
      <c r="D20" s="191"/>
      <c r="E20" s="3">
        <f>'Emission Calculations'!M43</f>
        <v>0</v>
      </c>
      <c r="G20" s="1">
        <f aca="true" t="shared" si="1" ref="G20:G28">IF(E20&lt;=E6,"","Actual Emissions are greater than Potential Emissions. Please contact the IAEAP or the Iowa DNR for assistance")</f>
      </c>
    </row>
    <row r="21" spans="2:7" ht="15">
      <c r="B21" s="4" t="s">
        <v>11</v>
      </c>
      <c r="C21" s="188" t="s">
        <v>34</v>
      </c>
      <c r="D21" s="189"/>
      <c r="E21" s="3">
        <f>'Emission Calculations'!M54</f>
        <v>0</v>
      </c>
      <c r="G21" s="1">
        <f t="shared" si="1"/>
      </c>
    </row>
    <row r="22" spans="2:7" ht="15">
      <c r="B22" s="4" t="s">
        <v>35</v>
      </c>
      <c r="C22" s="188" t="s">
        <v>35</v>
      </c>
      <c r="D22" s="189"/>
      <c r="E22" s="3">
        <f>'Emission Calculations'!M61</f>
        <v>0</v>
      </c>
      <c r="G22" s="1">
        <f t="shared" si="1"/>
      </c>
    </row>
    <row r="23" spans="2:7" ht="15">
      <c r="B23" s="4" t="s">
        <v>13</v>
      </c>
      <c r="C23" s="188" t="s">
        <v>13</v>
      </c>
      <c r="D23" s="189"/>
      <c r="E23" s="3">
        <f>'Emission Calculations'!M68</f>
        <v>0</v>
      </c>
      <c r="G23" s="1">
        <f t="shared" si="1"/>
      </c>
    </row>
    <row r="24" spans="2:7" ht="15">
      <c r="B24" s="4" t="s">
        <v>14</v>
      </c>
      <c r="C24" s="188" t="s">
        <v>36</v>
      </c>
      <c r="D24" s="189"/>
      <c r="E24" s="3">
        <f>'Emission Calculations'!M75</f>
        <v>0</v>
      </c>
      <c r="G24" s="1">
        <f t="shared" si="1"/>
      </c>
    </row>
    <row r="25" spans="2:7" ht="15">
      <c r="B25" s="4" t="s">
        <v>15</v>
      </c>
      <c r="C25" s="188"/>
      <c r="D25" s="196"/>
      <c r="E25" s="3">
        <f>0</f>
        <v>0</v>
      </c>
      <c r="G25" s="1">
        <f t="shared" si="1"/>
      </c>
    </row>
    <row r="26" spans="2:7" ht="15">
      <c r="B26" s="4" t="s">
        <v>16</v>
      </c>
      <c r="C26" s="188" t="s">
        <v>37</v>
      </c>
      <c r="D26" s="189"/>
      <c r="E26" s="3">
        <f>'Emission Calculations'!M82</f>
        <v>0</v>
      </c>
      <c r="G26" s="1">
        <f t="shared" si="1"/>
      </c>
    </row>
    <row r="27" spans="2:7" ht="15">
      <c r="B27" s="69" t="s">
        <v>125</v>
      </c>
      <c r="C27" s="194" t="s">
        <v>163</v>
      </c>
      <c r="D27" s="195"/>
      <c r="E27" s="70">
        <f>'Emission Calculations'!M89</f>
        <v>0</v>
      </c>
      <c r="G27" s="1">
        <f t="shared" si="1"/>
      </c>
    </row>
    <row r="28" spans="2:7" ht="15.75" thickBot="1">
      <c r="B28" s="5" t="s">
        <v>38</v>
      </c>
      <c r="C28" s="192"/>
      <c r="D28" s="193"/>
      <c r="E28" s="6">
        <f>SUM(E26:E27)</f>
        <v>0</v>
      </c>
      <c r="G28" s="1">
        <f t="shared" si="1"/>
      </c>
    </row>
  </sheetData>
  <sheetProtection password="C413" sheet="1"/>
  <mergeCells count="25">
    <mergeCell ref="B3:E3"/>
    <mergeCell ref="B17:E17"/>
    <mergeCell ref="C4:D4"/>
    <mergeCell ref="C18:D18"/>
    <mergeCell ref="C5:D5"/>
    <mergeCell ref="C10:D10"/>
    <mergeCell ref="C28:D28"/>
    <mergeCell ref="C25:D25"/>
    <mergeCell ref="C26:D26"/>
    <mergeCell ref="C27:D27"/>
    <mergeCell ref="C23:D23"/>
    <mergeCell ref="C11:D11"/>
    <mergeCell ref="C20:D20"/>
    <mergeCell ref="C21:D21"/>
    <mergeCell ref="C19:D19"/>
    <mergeCell ref="A1:E1"/>
    <mergeCell ref="C24:D24"/>
    <mergeCell ref="C12:D12"/>
    <mergeCell ref="C22:D22"/>
    <mergeCell ref="C6:D6"/>
    <mergeCell ref="C7:D7"/>
    <mergeCell ref="C8:D8"/>
    <mergeCell ref="C14:D14"/>
    <mergeCell ref="C9:D9"/>
    <mergeCell ref="C13:D1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44" customWidth="1"/>
    <col min="2" max="2" width="9.140625" style="44" customWidth="1"/>
    <col min="3" max="3" width="10.00390625" style="44" bestFit="1" customWidth="1"/>
    <col min="4" max="4" width="9.140625" style="44" customWidth="1"/>
    <col min="5" max="5" width="16.28125" style="44" bestFit="1" customWidth="1"/>
    <col min="6" max="6" width="9.140625" style="44" customWidth="1"/>
    <col min="7" max="7" width="16.140625" style="44" customWidth="1"/>
    <col min="8" max="8" width="6.8515625" style="44" customWidth="1"/>
    <col min="9" max="9" width="16.421875" style="44" customWidth="1"/>
    <col min="10" max="10" width="9.140625" style="44" customWidth="1"/>
    <col min="11" max="11" width="16.28125" style="44" bestFit="1" customWidth="1"/>
    <col min="12" max="12" width="9.140625" style="44" customWidth="1"/>
    <col min="13" max="13" width="16.28125" style="44" bestFit="1" customWidth="1"/>
    <col min="14" max="14" width="9.140625" style="44" customWidth="1"/>
    <col min="15" max="15" width="16.28125" style="44" bestFit="1" customWidth="1"/>
    <col min="16" max="16" width="14.00390625" style="44" bestFit="1" customWidth="1"/>
    <col min="17" max="17" width="16.28125" style="44" bestFit="1" customWidth="1"/>
    <col min="18" max="18" width="9.140625" style="44" customWidth="1"/>
    <col min="19" max="19" width="16.28125" style="44" bestFit="1" customWidth="1"/>
    <col min="20" max="16384" width="9.140625" style="44" customWidth="1"/>
  </cols>
  <sheetData>
    <row r="1" ht="18.75">
      <c r="A1" s="71" t="s">
        <v>166</v>
      </c>
    </row>
    <row r="2" ht="15">
      <c r="B2" s="46" t="s">
        <v>112</v>
      </c>
    </row>
    <row r="3" spans="1:7" ht="15">
      <c r="A3" s="50" t="s">
        <v>89</v>
      </c>
      <c r="B3" s="45"/>
      <c r="C3" s="45"/>
      <c r="D3" s="45"/>
      <c r="E3" s="45"/>
      <c r="F3" s="45"/>
      <c r="G3" s="45"/>
    </row>
    <row r="4" spans="1:7" ht="15">
      <c r="A4" s="42" t="s">
        <v>8</v>
      </c>
      <c r="B4" s="42" t="s">
        <v>17</v>
      </c>
      <c r="C4" s="42"/>
      <c r="D4" s="42" t="s">
        <v>107</v>
      </c>
      <c r="E4" s="42" t="s">
        <v>10</v>
      </c>
      <c r="F4" s="42" t="s">
        <v>108</v>
      </c>
      <c r="G4" s="42" t="s">
        <v>10</v>
      </c>
    </row>
    <row r="5" spans="1:7" ht="15">
      <c r="A5" s="44" t="s">
        <v>97</v>
      </c>
      <c r="B5" s="44">
        <v>30502006</v>
      </c>
      <c r="D5" s="44">
        <v>0.00045</v>
      </c>
      <c r="E5" s="44" t="s">
        <v>109</v>
      </c>
      <c r="F5" s="44">
        <v>0.0011</v>
      </c>
      <c r="G5" s="44" t="s">
        <v>109</v>
      </c>
    </row>
    <row r="6" spans="1:7" ht="15">
      <c r="A6" s="44" t="s">
        <v>94</v>
      </c>
      <c r="B6" s="44">
        <v>30502005</v>
      </c>
      <c r="D6" s="44">
        <v>0.0117</v>
      </c>
      <c r="E6" s="44" t="s">
        <v>109</v>
      </c>
      <c r="F6" s="44">
        <v>0.015</v>
      </c>
      <c r="G6" s="44" t="s">
        <v>109</v>
      </c>
    </row>
    <row r="7" spans="1:7" ht="15">
      <c r="A7" s="44" t="s">
        <v>95</v>
      </c>
      <c r="B7" s="44">
        <v>30502021</v>
      </c>
      <c r="D7" s="44">
        <v>0.072</v>
      </c>
      <c r="E7" s="44" t="s">
        <v>109</v>
      </c>
      <c r="F7" s="44">
        <v>0.072</v>
      </c>
      <c r="G7" s="44" t="s">
        <v>109</v>
      </c>
    </row>
    <row r="8" spans="1:7" ht="15">
      <c r="A8" s="44" t="s">
        <v>92</v>
      </c>
      <c r="B8" s="44">
        <v>30502001</v>
      </c>
      <c r="D8" s="44">
        <v>0.00081</v>
      </c>
      <c r="E8" s="44" t="s">
        <v>109</v>
      </c>
      <c r="F8" s="44">
        <v>0.0024</v>
      </c>
      <c r="G8" s="44" t="s">
        <v>109</v>
      </c>
    </row>
    <row r="9" spans="1:7" ht="15">
      <c r="A9" s="44" t="s">
        <v>90</v>
      </c>
      <c r="B9" s="44">
        <v>30502004</v>
      </c>
      <c r="D9" s="44">
        <v>0.00375</v>
      </c>
      <c r="E9" s="44" t="s">
        <v>109</v>
      </c>
      <c r="F9" s="44">
        <v>0.0087</v>
      </c>
      <c r="G9" s="44" t="s">
        <v>109</v>
      </c>
    </row>
    <row r="10" spans="1:7" ht="15">
      <c r="A10" s="44" t="s">
        <v>91</v>
      </c>
      <c r="B10" s="44">
        <v>30502002</v>
      </c>
      <c r="D10" s="44">
        <v>0.00081</v>
      </c>
      <c r="E10" s="44" t="s">
        <v>109</v>
      </c>
      <c r="F10" s="44">
        <v>0.0024</v>
      </c>
      <c r="G10" s="44" t="s">
        <v>109</v>
      </c>
    </row>
    <row r="11" spans="1:7" ht="15">
      <c r="A11" s="44" t="s">
        <v>102</v>
      </c>
      <c r="B11" s="44">
        <v>30502507</v>
      </c>
      <c r="D11" s="44">
        <v>3.64</v>
      </c>
      <c r="E11" s="44" t="s">
        <v>111</v>
      </c>
      <c r="F11" s="44">
        <v>3.64</v>
      </c>
      <c r="G11" s="44" t="s">
        <v>111</v>
      </c>
    </row>
    <row r="12" spans="1:7" ht="15">
      <c r="A12" s="44" t="s">
        <v>93</v>
      </c>
      <c r="B12" s="44">
        <v>30502003</v>
      </c>
      <c r="D12" s="44">
        <v>0.00081</v>
      </c>
      <c r="E12" s="44" t="s">
        <v>109</v>
      </c>
      <c r="F12" s="44">
        <v>0.0024</v>
      </c>
      <c r="G12" s="44" t="s">
        <v>109</v>
      </c>
    </row>
    <row r="13" spans="1:7" ht="15">
      <c r="A13" s="44" t="s">
        <v>96</v>
      </c>
      <c r="B13" s="44">
        <v>30502010</v>
      </c>
      <c r="D13" s="44">
        <v>8E-05</v>
      </c>
      <c r="E13" s="44" t="s">
        <v>109</v>
      </c>
      <c r="F13" s="44">
        <v>8E-05</v>
      </c>
      <c r="G13" s="44" t="s">
        <v>109</v>
      </c>
    </row>
    <row r="14" ht="15"/>
    <row r="15" ht="15">
      <c r="A15" s="50" t="s">
        <v>110</v>
      </c>
    </row>
    <row r="16" spans="1:7" ht="15">
      <c r="A16" s="42" t="s">
        <v>8</v>
      </c>
      <c r="B16" s="42" t="s">
        <v>17</v>
      </c>
      <c r="C16" s="42"/>
      <c r="D16" s="42" t="s">
        <v>107</v>
      </c>
      <c r="E16" s="42" t="s">
        <v>10</v>
      </c>
      <c r="F16" s="42" t="s">
        <v>108</v>
      </c>
      <c r="G16" s="42" t="s">
        <v>10</v>
      </c>
    </row>
    <row r="17" spans="1:7" ht="15">
      <c r="A17" s="44" t="s">
        <v>97</v>
      </c>
      <c r="B17" s="44">
        <v>30502006</v>
      </c>
      <c r="D17" s="44">
        <v>1.3E-05</v>
      </c>
      <c r="E17" s="44" t="s">
        <v>109</v>
      </c>
      <c r="F17" s="44">
        <v>4.6E-05</v>
      </c>
      <c r="G17" s="44" t="s">
        <v>109</v>
      </c>
    </row>
    <row r="18" spans="1:7" ht="15">
      <c r="A18" s="44" t="s">
        <v>94</v>
      </c>
      <c r="B18" s="44">
        <v>30502005</v>
      </c>
      <c r="D18" s="44">
        <v>7E-05</v>
      </c>
      <c r="E18" s="44" t="s">
        <v>109</v>
      </c>
      <c r="F18" s="44">
        <v>0.0012</v>
      </c>
      <c r="G18" s="44" t="s">
        <v>109</v>
      </c>
    </row>
    <row r="19" spans="1:11" ht="15">
      <c r="A19" s="44" t="s">
        <v>95</v>
      </c>
      <c r="B19" s="44">
        <v>30502021</v>
      </c>
      <c r="D19" s="44">
        <v>0.00108</v>
      </c>
      <c r="E19" s="44" t="s">
        <v>109</v>
      </c>
      <c r="F19" s="44">
        <v>0.0022</v>
      </c>
      <c r="G19" s="44" t="s">
        <v>109</v>
      </c>
      <c r="I19" s="49"/>
      <c r="J19" s="48"/>
      <c r="K19" s="49"/>
    </row>
    <row r="20" spans="1:7" ht="15">
      <c r="A20" s="44" t="s">
        <v>92</v>
      </c>
      <c r="B20" s="44">
        <v>30502001</v>
      </c>
      <c r="D20" s="44">
        <v>0.0001</v>
      </c>
      <c r="E20" s="44" t="s">
        <v>109</v>
      </c>
      <c r="F20" s="44">
        <v>0.00054</v>
      </c>
      <c r="G20" s="44" t="s">
        <v>109</v>
      </c>
    </row>
    <row r="21" spans="1:7" ht="15">
      <c r="A21" s="44" t="s">
        <v>90</v>
      </c>
      <c r="B21" s="44">
        <v>30502004</v>
      </c>
      <c r="D21" s="44">
        <v>5E-05</v>
      </c>
      <c r="E21" s="44" t="s">
        <v>109</v>
      </c>
      <c r="F21" s="44">
        <v>0.00074</v>
      </c>
      <c r="G21" s="44" t="s">
        <v>109</v>
      </c>
    </row>
    <row r="22" spans="1:11" ht="15">
      <c r="A22" s="44" t="s">
        <v>91</v>
      </c>
      <c r="B22" s="44">
        <v>30502002</v>
      </c>
      <c r="D22" s="44">
        <v>0.0001</v>
      </c>
      <c r="E22" s="44" t="s">
        <v>109</v>
      </c>
      <c r="F22" s="44">
        <v>0.00054</v>
      </c>
      <c r="G22" s="44" t="s">
        <v>109</v>
      </c>
      <c r="H22" s="45"/>
      <c r="I22" s="45"/>
      <c r="J22" s="45"/>
      <c r="K22" s="45"/>
    </row>
    <row r="23" spans="1:7" ht="15">
      <c r="A23" s="44" t="s">
        <v>102</v>
      </c>
      <c r="B23" s="44">
        <v>30502507</v>
      </c>
      <c r="D23" s="44">
        <v>3.64</v>
      </c>
      <c r="E23" s="44" t="s">
        <v>111</v>
      </c>
      <c r="F23" s="44">
        <v>3.64</v>
      </c>
      <c r="G23" s="44" t="s">
        <v>111</v>
      </c>
    </row>
    <row r="24" spans="1:7" ht="15">
      <c r="A24" s="44" t="s">
        <v>93</v>
      </c>
      <c r="B24" s="44">
        <v>30502003</v>
      </c>
      <c r="D24" s="44">
        <v>0.0001</v>
      </c>
      <c r="E24" s="44" t="s">
        <v>109</v>
      </c>
      <c r="F24" s="44">
        <v>0.00054</v>
      </c>
      <c r="G24" s="44" t="s">
        <v>109</v>
      </c>
    </row>
    <row r="25" ht="15"/>
    <row r="26" ht="15">
      <c r="A26" s="51" t="s">
        <v>137</v>
      </c>
    </row>
    <row r="27" spans="1:19" ht="15">
      <c r="A27" s="47" t="s">
        <v>57</v>
      </c>
      <c r="B27" s="44">
        <v>30205054</v>
      </c>
      <c r="N27" s="48"/>
      <c r="O27" s="49"/>
      <c r="P27" s="48"/>
      <c r="Q27" s="49"/>
      <c r="R27" s="48"/>
      <c r="S27" s="49"/>
    </row>
    <row r="28" spans="1:19" ht="15">
      <c r="A28" s="22"/>
      <c r="B28" s="22" t="s">
        <v>181</v>
      </c>
      <c r="C28" s="22"/>
      <c r="D28" s="22"/>
      <c r="E28" s="22"/>
      <c r="F28" s="23"/>
      <c r="G28" s="49"/>
      <c r="H28" s="48"/>
      <c r="I28" s="49"/>
      <c r="J28" s="48"/>
      <c r="K28" s="49"/>
      <c r="N28" s="48"/>
      <c r="O28" s="49"/>
      <c r="P28" s="48"/>
      <c r="Q28" s="49"/>
      <c r="R28" s="48"/>
      <c r="S28" s="49"/>
    </row>
    <row r="29" spans="1:19" ht="15">
      <c r="A29" s="22"/>
      <c r="B29" s="22"/>
      <c r="C29" s="22"/>
      <c r="E29" s="22"/>
      <c r="G29" s="22" t="s">
        <v>78</v>
      </c>
      <c r="H29" s="48"/>
      <c r="I29" s="49"/>
      <c r="J29" s="48"/>
      <c r="K29" s="49"/>
      <c r="N29" s="48"/>
      <c r="O29" s="49"/>
      <c r="P29" s="48"/>
      <c r="Q29" s="49"/>
      <c r="R29" s="48"/>
      <c r="S29" s="49"/>
    </row>
    <row r="30" spans="1:11" ht="15">
      <c r="A30" s="22"/>
      <c r="B30" s="22"/>
      <c r="C30" s="22"/>
      <c r="E30" s="22"/>
      <c r="G30" s="22" t="s">
        <v>79</v>
      </c>
      <c r="H30" s="48"/>
      <c r="I30" s="49"/>
      <c r="J30" s="48"/>
      <c r="K30" s="49"/>
    </row>
    <row r="31" spans="1:7" ht="15">
      <c r="A31" s="22"/>
      <c r="B31" s="22"/>
      <c r="C31" s="22"/>
      <c r="E31" s="22"/>
      <c r="G31" s="22" t="s">
        <v>80</v>
      </c>
    </row>
    <row r="32" spans="1:7" ht="15">
      <c r="A32" s="22"/>
      <c r="B32" s="22"/>
      <c r="C32" s="22"/>
      <c r="E32" s="22"/>
      <c r="G32" s="27" t="s">
        <v>153</v>
      </c>
    </row>
    <row r="33" spans="1:7" ht="15">
      <c r="A33" s="22" t="s">
        <v>177</v>
      </c>
      <c r="B33" s="22">
        <v>30205054</v>
      </c>
      <c r="C33" s="22"/>
      <c r="E33" s="22"/>
      <c r="G33" s="27"/>
    </row>
    <row r="34" spans="1:7" ht="15">
      <c r="A34" s="22"/>
      <c r="B34" s="22" t="s">
        <v>182</v>
      </c>
      <c r="C34" s="22"/>
      <c r="E34" s="22"/>
      <c r="G34" s="27"/>
    </row>
    <row r="35" spans="1:7" ht="15">
      <c r="A35" s="22"/>
      <c r="B35" s="22"/>
      <c r="C35" s="22"/>
      <c r="E35" s="22"/>
      <c r="G35" s="22" t="s">
        <v>183</v>
      </c>
    </row>
    <row r="36" spans="1:7" ht="15">
      <c r="A36" s="22"/>
      <c r="B36" s="22"/>
      <c r="C36" s="22"/>
      <c r="E36" s="22"/>
      <c r="G36" s="22" t="s">
        <v>184</v>
      </c>
    </row>
    <row r="37" spans="1:7" ht="15">
      <c r="A37" s="22"/>
      <c r="B37" s="22"/>
      <c r="C37" s="22"/>
      <c r="E37" s="22"/>
      <c r="G37" s="22" t="s">
        <v>80</v>
      </c>
    </row>
    <row r="38" spans="1:7" ht="15">
      <c r="A38" s="22"/>
      <c r="B38" s="22"/>
      <c r="C38" s="22"/>
      <c r="E38" s="22"/>
      <c r="G38" s="27" t="s">
        <v>153</v>
      </c>
    </row>
    <row r="39" spans="1:7" ht="15">
      <c r="A39" s="22"/>
      <c r="B39" s="22"/>
      <c r="C39" s="22"/>
      <c r="E39" s="22"/>
      <c r="G39" s="27"/>
    </row>
    <row r="40" ht="15">
      <c r="A40" s="46" t="s">
        <v>114</v>
      </c>
    </row>
    <row r="41" spans="1:19" ht="15">
      <c r="A41" s="42" t="s">
        <v>8</v>
      </c>
      <c r="B41" s="42" t="s">
        <v>17</v>
      </c>
      <c r="C41" s="42" t="s">
        <v>10</v>
      </c>
      <c r="D41" s="42" t="s">
        <v>107</v>
      </c>
      <c r="E41" s="42" t="s">
        <v>119</v>
      </c>
      <c r="F41" s="42" t="s">
        <v>108</v>
      </c>
      <c r="G41" s="42" t="s">
        <v>119</v>
      </c>
      <c r="H41" s="42" t="s">
        <v>11</v>
      </c>
      <c r="I41" s="42" t="s">
        <v>121</v>
      </c>
      <c r="J41" s="42" t="s">
        <v>12</v>
      </c>
      <c r="K41" s="42" t="s">
        <v>119</v>
      </c>
      <c r="L41" s="42" t="s">
        <v>13</v>
      </c>
      <c r="M41" s="42" t="s">
        <v>119</v>
      </c>
      <c r="N41" s="42" t="s">
        <v>14</v>
      </c>
      <c r="O41" s="42" t="s">
        <v>119</v>
      </c>
      <c r="P41" s="42" t="s">
        <v>16</v>
      </c>
      <c r="Q41" s="42" t="s">
        <v>119</v>
      </c>
      <c r="R41" s="42" t="s">
        <v>125</v>
      </c>
      <c r="S41" s="42" t="s">
        <v>119</v>
      </c>
    </row>
    <row r="42" spans="1:19" ht="15">
      <c r="A42" s="44" t="s">
        <v>157</v>
      </c>
      <c r="B42" s="44">
        <v>20100102</v>
      </c>
      <c r="C42" s="44" t="s">
        <v>117</v>
      </c>
      <c r="D42" s="44">
        <v>0.31</v>
      </c>
      <c r="E42" s="44" t="s">
        <v>120</v>
      </c>
      <c r="F42" s="44">
        <v>0.31</v>
      </c>
      <c r="G42" s="44" t="s">
        <v>120</v>
      </c>
      <c r="H42" s="44">
        <v>0.29</v>
      </c>
      <c r="I42" s="44" t="s">
        <v>120</v>
      </c>
      <c r="J42" s="44">
        <v>4.41</v>
      </c>
      <c r="K42" s="44" t="s">
        <v>120</v>
      </c>
      <c r="L42" s="44">
        <v>0.35</v>
      </c>
      <c r="M42" s="44" t="s">
        <v>120</v>
      </c>
      <c r="N42" s="44">
        <v>0.95</v>
      </c>
      <c r="O42" s="44" t="s">
        <v>120</v>
      </c>
      <c r="P42" s="44">
        <v>0.00118</v>
      </c>
      <c r="Q42" s="44" t="s">
        <v>122</v>
      </c>
      <c r="R42" s="44">
        <v>0.000933</v>
      </c>
      <c r="S42" s="44" t="s">
        <v>122</v>
      </c>
    </row>
    <row r="43" spans="1:19" ht="15">
      <c r="A43" s="44" t="s">
        <v>158</v>
      </c>
      <c r="B43" s="44">
        <v>20200401</v>
      </c>
      <c r="C43" s="44" t="s">
        <v>117</v>
      </c>
      <c r="D43" s="44">
        <v>0.0539</v>
      </c>
      <c r="E43" s="44" t="s">
        <v>126</v>
      </c>
      <c r="F43" s="44">
        <v>0.14</v>
      </c>
      <c r="G43" s="44" t="s">
        <v>118</v>
      </c>
      <c r="H43" s="44">
        <v>1.01</v>
      </c>
      <c r="I43" s="44" t="s">
        <v>123</v>
      </c>
      <c r="J43" s="44">
        <v>3.2</v>
      </c>
      <c r="K43" s="44" t="s">
        <v>123</v>
      </c>
      <c r="L43" s="44">
        <v>0.082</v>
      </c>
      <c r="M43" s="44" t="s">
        <v>123</v>
      </c>
      <c r="N43" s="44">
        <v>0.85</v>
      </c>
      <c r="O43" s="44" t="s">
        <v>123</v>
      </c>
      <c r="P43" s="44">
        <v>7.89E-05</v>
      </c>
      <c r="Q43" s="44" t="s">
        <v>124</v>
      </c>
      <c r="R43" s="44">
        <v>0.000776</v>
      </c>
      <c r="S43" s="44" t="s">
        <v>124</v>
      </c>
    </row>
    <row r="44" ht="15">
      <c r="M44" s="57" t="s">
        <v>154</v>
      </c>
    </row>
    <row r="45" ht="15"/>
    <row r="46" ht="15"/>
  </sheetData>
  <sheetProtection password="C413" sheet="1"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IWRC University of Northern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Wittenburg</dc:creator>
  <cp:keywords/>
  <dc:description/>
  <cp:lastModifiedBy>Jennifer Wittenburg</cp:lastModifiedBy>
  <dcterms:created xsi:type="dcterms:W3CDTF">2011-11-02T19:41:52Z</dcterms:created>
  <dcterms:modified xsi:type="dcterms:W3CDTF">2016-01-12T18:28:44Z</dcterms:modified>
  <cp:category/>
  <cp:version/>
  <cp:contentType/>
  <cp:contentStatus/>
</cp:coreProperties>
</file>